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tables/table8.xml" ContentType="application/vnd.openxmlformats-officedocument.spreadsheetml.table+xml"/>
  <Override PartName="/xl/tables/table9.xml" ContentType="application/vnd.openxmlformats-officedocument.spreadsheetml.table+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tables/table10.xml" ContentType="application/vnd.openxmlformats-officedocument.spreadsheetml.table+xml"/>
  <Override PartName="/xl/tables/table11.xml" ContentType="application/vnd.openxmlformats-officedocument.spreadsheetml.table+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tables/table12.xml" ContentType="application/vnd.openxmlformats-officedocument.spreadsheetml.table+xml"/>
  <Override PartName="/xl/tables/table13.xml" ContentType="application/vnd.openxmlformats-officedocument.spreadsheetml.table+xml"/>
  <Override PartName="/xl/drawings/drawing8.xml" ContentType="application/vnd.openxmlformats-officedocument.drawing+xml"/>
  <Override PartName="/xl/ctrlProps/ctrlProp15.xml" ContentType="application/vnd.ms-excel.controlproperties+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9.xml" ContentType="application/vnd.openxmlformats-officedocument.drawing+xml"/>
  <Override PartName="/xl/ctrlProps/ctrlProp16.xml" ContentType="application/vnd.ms-excel.controlproperties+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0.xml" ContentType="application/vnd.openxmlformats-officedocument.drawing+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L:\4_Inventaires d'émissions, prospective et évaluation\42_Prospective\421_Scénarios prospectifs DGEC\4215_Scénarios 2023\31-outputs\Communication\Partage hypothèses\AME run 3\"/>
    </mc:Choice>
  </mc:AlternateContent>
  <xr:revisionPtr revIDLastSave="0" documentId="13_ncr:1_{5EC80368-6D0C-4E9D-B2C2-270B4F9E1C01}" xr6:coauthVersionLast="47" xr6:coauthVersionMax="47" xr10:uidLastSave="{00000000-0000-0000-0000-000000000000}"/>
  <bookViews>
    <workbookView xWindow="-108" yWindow="-108" windowWidth="23256" windowHeight="12456" tabRatio="749" firstSheet="2" activeTab="13" xr2:uid="{00000000-000D-0000-FFFF-FFFF00000000}"/>
  </bookViews>
  <sheets>
    <sheet name="Notice d'utilisation et FAQ" sheetId="25" r:id="rId1"/>
    <sheet name="&gt;&gt;&gt; Hypothèses sectorielles" sheetId="33" r:id="rId2"/>
    <sheet name="Cadrage" sheetId="65" r:id="rId3"/>
    <sheet name="Moteur" sheetId="54" state="hidden" r:id="rId4"/>
    <sheet name="Industrie" sheetId="30" r:id="rId5"/>
    <sheet name="Agriculture" sheetId="64" r:id="rId6"/>
    <sheet name="Energie" sheetId="59" r:id="rId7"/>
    <sheet name="Transports" sheetId="60" r:id="rId8"/>
    <sheet name="Bâtiments" sheetId="67" r:id="rId9"/>
    <sheet name="Déchets" sheetId="68" r:id="rId10"/>
    <sheet name="UTCATF" sheetId="70" r:id="rId11"/>
    <sheet name="DROM" sheetId="71" r:id="rId12"/>
    <sheet name="&gt;&gt;&gt; Résultats" sheetId="34" r:id="rId13"/>
    <sheet name="Bilans" sheetId="66" r:id="rId14"/>
    <sheet name="GES" sheetId="17" r:id="rId15"/>
  </sheets>
  <externalReferences>
    <externalReference r:id="rId16"/>
  </externalReferences>
  <definedNames>
    <definedName name="_xlcn.WorksheetConnection_partage_hypothèses_AME.xlsxConsommation_IGCE1" hidden="1">Consommation_IGCE[]</definedName>
    <definedName name="_xlcn.WorksheetConnection_partage_hypothèses_AME.xlsxTableau11" hidden="1">Tableau1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onsommation_IGCE" name="Consommation_IGCE" connection="WorksheetConnection_partage_hypothèses_AME.xlsx!Consommation_IGCE"/>
          <x15:modelTable id="Tableau1" name="Tableau1" connection="WorksheetConnection_partage_hypothèses_AME.xlsx!Tableau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71" l="1"/>
  <c r="C11" i="71"/>
  <c r="C33" i="71"/>
  <c r="C614" i="66"/>
  <c r="F311" i="67"/>
  <c r="F325" i="67"/>
  <c r="L542" i="30" l="1" a="1"/>
  <c r="L542" i="30" s="1"/>
  <c r="K542" i="30" a="1"/>
  <c r="K542" i="30" s="1"/>
  <c r="J542" i="30" a="1"/>
  <c r="J542" i="30" s="1"/>
  <c r="I542" i="30" a="1"/>
  <c r="I542" i="30" s="1"/>
  <c r="H542" i="30" a="1"/>
  <c r="H542" i="30" s="1"/>
  <c r="G542" i="30" a="1"/>
  <c r="G542" i="30" s="1"/>
  <c r="F542" i="30" a="1"/>
  <c r="F542" i="30" s="1"/>
  <c r="F113" i="67"/>
  <c r="F101" i="67"/>
  <c r="G101" i="67"/>
  <c r="H101" i="67"/>
  <c r="H116" i="67"/>
  <c r="H113" i="67" s="1"/>
  <c r="H103" i="59" l="1"/>
  <c r="G103" i="59"/>
  <c r="G78" i="70" l="1"/>
  <c r="F242" i="59" l="1"/>
  <c r="G244" i="59"/>
  <c r="H244" i="59"/>
  <c r="I244" i="59"/>
  <c r="J244" i="59"/>
  <c r="K244" i="59"/>
  <c r="L244" i="59"/>
  <c r="G248" i="59"/>
  <c r="H248" i="59"/>
  <c r="I248" i="59"/>
  <c r="J248" i="59"/>
  <c r="K248" i="59"/>
  <c r="L248" i="59"/>
  <c r="F248" i="59"/>
  <c r="G247" i="59"/>
  <c r="H247" i="59"/>
  <c r="I247" i="59"/>
  <c r="J247" i="59"/>
  <c r="K247" i="59"/>
  <c r="L247" i="59"/>
  <c r="F247" i="59"/>
  <c r="G246" i="59"/>
  <c r="H246" i="59"/>
  <c r="I246" i="59"/>
  <c r="J246" i="59"/>
  <c r="K246" i="59"/>
  <c r="L246" i="59"/>
  <c r="F246" i="59"/>
  <c r="G245" i="59"/>
  <c r="H245" i="59"/>
  <c r="I245" i="59"/>
  <c r="J245" i="59"/>
  <c r="K245" i="59"/>
  <c r="L245" i="59"/>
  <c r="F245" i="59"/>
  <c r="F244" i="59"/>
  <c r="G243" i="59"/>
  <c r="H243" i="59"/>
  <c r="I243" i="59"/>
  <c r="J243" i="59"/>
  <c r="K243" i="59"/>
  <c r="L243" i="59"/>
  <c r="F243" i="59"/>
  <c r="G242" i="59"/>
  <c r="H242" i="59"/>
  <c r="I242" i="59"/>
  <c r="J242" i="59"/>
  <c r="K242" i="59"/>
  <c r="L242" i="59"/>
  <c r="C249" i="59"/>
  <c r="C246" i="59"/>
  <c r="C245" i="59"/>
  <c r="C244" i="59"/>
  <c r="C243" i="59"/>
  <c r="C242" i="59"/>
  <c r="C241" i="59"/>
  <c r="C240" i="59"/>
  <c r="C239" i="59"/>
  <c r="C250" i="59"/>
  <c r="C223" i="59"/>
  <c r="C222" i="59"/>
  <c r="C221" i="59"/>
  <c r="C220" i="59"/>
  <c r="C219" i="59"/>
  <c r="C218" i="59"/>
  <c r="C217" i="59"/>
  <c r="C216" i="59"/>
  <c r="C252" i="59"/>
  <c r="C253" i="59"/>
  <c r="C254" i="59"/>
  <c r="C255" i="59"/>
  <c r="C256" i="59"/>
  <c r="C257" i="59"/>
  <c r="C258" i="59"/>
  <c r="C259" i="59"/>
  <c r="C260" i="59"/>
  <c r="C261" i="59"/>
  <c r="F261" i="59"/>
  <c r="G261" i="59"/>
  <c r="H261" i="59"/>
  <c r="I261" i="59"/>
  <c r="J261" i="59"/>
  <c r="K261" i="59"/>
  <c r="L261" i="59"/>
  <c r="C89" i="59"/>
  <c r="C90" i="59"/>
  <c r="C91" i="59"/>
  <c r="C92" i="59"/>
  <c r="C93" i="59"/>
  <c r="C94" i="59"/>
  <c r="C95" i="59"/>
  <c r="C96" i="59"/>
  <c r="C97" i="59"/>
  <c r="C98" i="59"/>
  <c r="C99" i="59"/>
  <c r="C100" i="59"/>
  <c r="C101" i="59"/>
  <c r="C102" i="59"/>
  <c r="C103" i="59"/>
  <c r="C104" i="59"/>
  <c r="C105" i="59"/>
  <c r="C106" i="59"/>
  <c r="C107" i="59"/>
  <c r="C108" i="59"/>
  <c r="C109" i="59"/>
  <c r="C110" i="59"/>
  <c r="C111" i="59"/>
  <c r="C112" i="59"/>
  <c r="C113" i="59"/>
  <c r="C114" i="59"/>
  <c r="C115" i="59"/>
  <c r="C116" i="59"/>
  <c r="C117" i="59"/>
  <c r="C118" i="59"/>
  <c r="C119" i="59"/>
  <c r="C120" i="59"/>
  <c r="C121" i="59"/>
  <c r="C122" i="59"/>
  <c r="C123" i="59"/>
  <c r="C124" i="59"/>
  <c r="C125" i="59"/>
  <c r="C126" i="59"/>
  <c r="C127" i="59"/>
  <c r="C128" i="59"/>
  <c r="C129" i="59"/>
  <c r="C130" i="59"/>
  <c r="C131" i="59"/>
  <c r="C132" i="59"/>
  <c r="C133" i="59"/>
  <c r="C134" i="59"/>
  <c r="C135" i="59"/>
  <c r="C136" i="59"/>
  <c r="C137" i="59"/>
  <c r="C138" i="59"/>
  <c r="C139" i="59"/>
  <c r="C140" i="59"/>
  <c r="C141" i="59"/>
  <c r="C142" i="59"/>
  <c r="C143" i="59"/>
  <c r="C144" i="59"/>
  <c r="C145" i="59"/>
  <c r="C146" i="59"/>
  <c r="C147" i="59"/>
  <c r="C148" i="59"/>
  <c r="C149" i="59"/>
  <c r="C150" i="59"/>
  <c r="C151" i="59"/>
  <c r="C152" i="59"/>
  <c r="C153" i="59"/>
  <c r="C154" i="59"/>
  <c r="C155" i="59"/>
  <c r="C156" i="59"/>
  <c r="C157" i="59"/>
  <c r="C158" i="59"/>
  <c r="C159" i="59"/>
  <c r="C160" i="59"/>
  <c r="C161" i="59"/>
  <c r="C162" i="59"/>
  <c r="C163" i="59"/>
  <c r="C164" i="59"/>
  <c r="C165" i="59"/>
  <c r="C166" i="59"/>
  <c r="C167" i="59"/>
  <c r="C168" i="59"/>
  <c r="C169" i="59"/>
  <c r="C170" i="59"/>
  <c r="C171" i="59"/>
  <c r="C172" i="59"/>
  <c r="C173" i="59"/>
  <c r="C174" i="59"/>
  <c r="C175" i="59"/>
  <c r="C176" i="59"/>
  <c r="C177" i="59"/>
  <c r="C178" i="59"/>
  <c r="C179" i="59"/>
  <c r="C180" i="59"/>
  <c r="C181" i="59"/>
  <c r="C182" i="59"/>
  <c r="C183" i="59"/>
  <c r="C184" i="59"/>
  <c r="C185" i="59"/>
  <c r="C186" i="59"/>
  <c r="C187" i="59"/>
  <c r="C188" i="59"/>
  <c r="C189" i="59"/>
  <c r="C190" i="59"/>
  <c r="C191" i="59"/>
  <c r="C192" i="59"/>
  <c r="C193" i="59"/>
  <c r="C194" i="59"/>
  <c r="C195" i="59"/>
  <c r="C196" i="59"/>
  <c r="C197" i="59"/>
  <c r="C198" i="59"/>
  <c r="C199" i="59"/>
  <c r="C200" i="59"/>
  <c r="C201" i="59"/>
  <c r="C202" i="59"/>
  <c r="C203" i="59"/>
  <c r="C204" i="59"/>
  <c r="C205" i="59"/>
  <c r="C206" i="59"/>
  <c r="C207" i="59"/>
  <c r="C208" i="59"/>
  <c r="C209" i="59"/>
  <c r="C210" i="59"/>
  <c r="C211" i="59"/>
  <c r="C212" i="59"/>
  <c r="C213" i="59"/>
  <c r="C214" i="59"/>
  <c r="C215" i="59"/>
  <c r="C472" i="30"/>
  <c r="C471" i="30"/>
  <c r="L569" i="30"/>
  <c r="G569" i="30"/>
  <c r="F569" i="30"/>
  <c r="H569" i="30"/>
  <c r="I569" i="30"/>
  <c r="J569" i="30"/>
  <c r="K569" i="30"/>
  <c r="AI66" i="17"/>
  <c r="AJ66" i="17"/>
  <c r="AK66" i="17"/>
  <c r="AL66" i="17"/>
  <c r="AM66" i="17"/>
  <c r="AN66" i="17"/>
  <c r="AO66" i="17"/>
  <c r="AP66" i="17"/>
  <c r="AQ66" i="17"/>
  <c r="AR66" i="17"/>
  <c r="AG61" i="17"/>
  <c r="AH61" i="17"/>
  <c r="AI61" i="17"/>
  <c r="AJ61" i="17"/>
  <c r="AK61" i="17"/>
  <c r="AL61" i="17"/>
  <c r="AM61" i="17"/>
  <c r="AN61" i="17"/>
  <c r="AO61" i="17"/>
  <c r="AP61" i="17"/>
  <c r="AQ61" i="17"/>
  <c r="AR61" i="17"/>
  <c r="AF61" i="17"/>
  <c r="AG60" i="17"/>
  <c r="AH60" i="17"/>
  <c r="AI60" i="17"/>
  <c r="AJ60" i="17"/>
  <c r="AK60" i="17"/>
  <c r="AL60" i="17"/>
  <c r="AM60" i="17"/>
  <c r="AN60" i="17"/>
  <c r="AO60" i="17"/>
  <c r="AP60" i="17"/>
  <c r="AQ60" i="17"/>
  <c r="AR60" i="17"/>
  <c r="AF60" i="17"/>
  <c r="AG57" i="17"/>
  <c r="AH57" i="17"/>
  <c r="AI57" i="17"/>
  <c r="AJ57" i="17"/>
  <c r="AK57" i="17"/>
  <c r="AL57" i="17"/>
  <c r="AM57" i="17"/>
  <c r="AN57" i="17"/>
  <c r="AO57" i="17"/>
  <c r="AP57" i="17"/>
  <c r="AQ57" i="17"/>
  <c r="AR57" i="17"/>
  <c r="AF57" i="17"/>
  <c r="AG52" i="17"/>
  <c r="AH52" i="17"/>
  <c r="AI52" i="17"/>
  <c r="AJ52" i="17"/>
  <c r="AK52" i="17"/>
  <c r="AL52" i="17"/>
  <c r="AM52" i="17"/>
  <c r="AN52" i="17"/>
  <c r="AO52" i="17"/>
  <c r="AP52" i="17"/>
  <c r="AQ52" i="17"/>
  <c r="AR52" i="17"/>
  <c r="AF52" i="17"/>
  <c r="AG43" i="17"/>
  <c r="AH43" i="17"/>
  <c r="AI43" i="17"/>
  <c r="AJ43" i="17"/>
  <c r="AK43" i="17"/>
  <c r="AL43" i="17"/>
  <c r="AM43" i="17"/>
  <c r="AN43" i="17"/>
  <c r="AO43" i="17"/>
  <c r="AP43" i="17"/>
  <c r="AQ43" i="17"/>
  <c r="AR43" i="17"/>
  <c r="AG44" i="17"/>
  <c r="AH44" i="17"/>
  <c r="AI44" i="17"/>
  <c r="AJ44" i="17"/>
  <c r="AK44" i="17"/>
  <c r="AL44" i="17"/>
  <c r="AM44" i="17"/>
  <c r="AN44" i="17"/>
  <c r="AO44" i="17"/>
  <c r="AP44" i="17"/>
  <c r="AQ44" i="17"/>
  <c r="AR44" i="17"/>
  <c r="AF44" i="17"/>
  <c r="AF43" i="17"/>
  <c r="AB43" i="17"/>
  <c r="AC43" i="17"/>
  <c r="AD43" i="17"/>
  <c r="AB44" i="17"/>
  <c r="AC44" i="17"/>
  <c r="AD44" i="17"/>
  <c r="J506" i="30" l="1"/>
  <c r="J507" i="30"/>
  <c r="J505" i="30"/>
  <c r="J504" i="30"/>
  <c r="L507" i="30"/>
  <c r="K507" i="30"/>
  <c r="I507" i="30"/>
  <c r="H507" i="30"/>
  <c r="G507" i="30"/>
  <c r="F507" i="30"/>
  <c r="L506" i="30"/>
  <c r="K506" i="30"/>
  <c r="I506" i="30"/>
  <c r="H506" i="30"/>
  <c r="G506" i="30"/>
  <c r="F506" i="30"/>
  <c r="L505" i="30"/>
  <c r="K505" i="30"/>
  <c r="I505" i="30"/>
  <c r="H505" i="30"/>
  <c r="G505" i="30"/>
  <c r="F505" i="30"/>
  <c r="L504" i="30"/>
  <c r="K504" i="30"/>
  <c r="I504" i="30"/>
  <c r="H504" i="30"/>
  <c r="G504" i="30"/>
  <c r="F504" i="30"/>
  <c r="L503" i="30"/>
  <c r="K503" i="30"/>
  <c r="J503" i="30"/>
  <c r="I503" i="30"/>
  <c r="H503" i="30"/>
  <c r="G503" i="30"/>
  <c r="F503" i="30"/>
  <c r="C468" i="30"/>
  <c r="C467" i="30"/>
  <c r="C466" i="30"/>
  <c r="C450" i="30"/>
  <c r="L227" i="30"/>
  <c r="C127" i="64" l="1"/>
  <c r="C126" i="64"/>
  <c r="C125" i="64"/>
  <c r="C124" i="64"/>
  <c r="C123" i="64"/>
  <c r="C122" i="64"/>
  <c r="F239" i="64"/>
  <c r="H240" i="64"/>
  <c r="L240" i="64"/>
  <c r="L238" i="64"/>
  <c r="H238" i="64"/>
  <c r="L239" i="64" l="1"/>
  <c r="H239" i="64"/>
  <c r="C260" i="64" l="1"/>
  <c r="C261" i="64"/>
  <c r="C262" i="64"/>
  <c r="J93" i="70" l="1"/>
  <c r="J92" i="70"/>
  <c r="J86" i="70"/>
  <c r="J85" i="70"/>
  <c r="J84" i="70"/>
  <c r="J83" i="70"/>
  <c r="J82" i="70"/>
  <c r="J81" i="70"/>
  <c r="J80" i="70"/>
  <c r="J79" i="70"/>
  <c r="H78" i="70"/>
  <c r="J78" i="70"/>
  <c r="L78" i="70"/>
  <c r="L86" i="70"/>
  <c r="G86" i="70"/>
  <c r="H86" i="70" s="1"/>
  <c r="G84" i="70"/>
  <c r="H84" i="70"/>
  <c r="L84" i="70"/>
  <c r="H85" i="70"/>
  <c r="J61" i="70"/>
  <c r="L23" i="70" l="1"/>
  <c r="J23" i="70"/>
  <c r="H23" i="70"/>
  <c r="F23" i="70"/>
  <c r="R5" i="64" l="1"/>
  <c r="F19" i="60"/>
  <c r="C12" i="71"/>
  <c r="C13" i="71"/>
  <c r="C14" i="71"/>
  <c r="C15" i="71"/>
  <c r="C16" i="71"/>
  <c r="C17" i="71"/>
  <c r="C18" i="71"/>
  <c r="C19" i="71"/>
  <c r="C20" i="71"/>
  <c r="C21" i="71"/>
  <c r="C22" i="71"/>
  <c r="C23" i="71"/>
  <c r="C24" i="71"/>
  <c r="C25" i="71"/>
  <c r="C26" i="71"/>
  <c r="C27" i="71"/>
  <c r="C28" i="71"/>
  <c r="C29" i="71"/>
  <c r="C30" i="71"/>
  <c r="C31" i="71"/>
  <c r="C32" i="71"/>
  <c r="C34" i="71"/>
  <c r="C35" i="71"/>
  <c r="C36" i="71"/>
  <c r="C37" i="71"/>
  <c r="C38" i="71"/>
  <c r="C39" i="71"/>
  <c r="C40" i="71"/>
  <c r="C41" i="71"/>
  <c r="C42" i="71"/>
  <c r="C43" i="71"/>
  <c r="C44" i="71"/>
  <c r="C45" i="71"/>
  <c r="C46" i="71"/>
  <c r="C47" i="71"/>
  <c r="C48" i="71"/>
  <c r="C50" i="71"/>
  <c r="C51" i="71"/>
  <c r="C52" i="71"/>
  <c r="C53" i="71"/>
  <c r="C54" i="71"/>
  <c r="C55" i="71"/>
  <c r="C56" i="71"/>
  <c r="C57" i="71"/>
  <c r="C58" i="71"/>
  <c r="C59" i="71"/>
  <c r="C60" i="71"/>
  <c r="C61" i="71"/>
  <c r="C62" i="71"/>
  <c r="C63" i="71"/>
  <c r="C65" i="71"/>
  <c r="C66" i="71"/>
  <c r="C67" i="71"/>
  <c r="C68" i="71"/>
  <c r="C69" i="71"/>
  <c r="C70" i="71"/>
  <c r="C71" i="71"/>
  <c r="C72" i="71"/>
  <c r="C73" i="71"/>
  <c r="C74" i="71"/>
  <c r="C75" i="71"/>
  <c r="C76" i="71"/>
  <c r="C77" i="71"/>
  <c r="C78" i="71"/>
  <c r="C80" i="71"/>
  <c r="C81" i="71"/>
  <c r="C82" i="71"/>
  <c r="C83" i="71"/>
  <c r="C84" i="71"/>
  <c r="C85" i="71"/>
  <c r="C86" i="71"/>
  <c r="C87" i="71"/>
  <c r="C88" i="71"/>
  <c r="C89" i="71"/>
  <c r="C90" i="71"/>
  <c r="C91" i="71"/>
  <c r="C92" i="71"/>
  <c r="C93" i="71"/>
  <c r="C95" i="71"/>
  <c r="C96" i="71"/>
  <c r="C97" i="71"/>
  <c r="C98" i="71"/>
  <c r="C99" i="71"/>
  <c r="C100" i="71"/>
  <c r="C101" i="71"/>
  <c r="C102" i="71"/>
  <c r="C103" i="71"/>
  <c r="C104" i="71"/>
  <c r="C105" i="71"/>
  <c r="C106" i="71"/>
  <c r="C107" i="71"/>
  <c r="C108" i="71"/>
  <c r="C110" i="71"/>
  <c r="C111" i="71"/>
  <c r="C112" i="71"/>
  <c r="C113" i="71"/>
  <c r="C114" i="71"/>
  <c r="C115" i="71"/>
  <c r="C116" i="71"/>
  <c r="C117" i="71"/>
  <c r="C118" i="71"/>
  <c r="C119" i="71"/>
  <c r="C120" i="71"/>
  <c r="C121" i="71"/>
  <c r="C122" i="71"/>
  <c r="C123" i="71"/>
  <c r="C124" i="71"/>
  <c r="C125" i="71"/>
  <c r="C126" i="71"/>
  <c r="C127" i="71"/>
  <c r="C128" i="71"/>
  <c r="C129" i="71"/>
  <c r="C130" i="71"/>
  <c r="G43" i="54"/>
  <c r="F43" i="54"/>
  <c r="G130" i="71"/>
  <c r="H130" i="71"/>
  <c r="I130" i="71"/>
  <c r="J130" i="71"/>
  <c r="K130" i="71"/>
  <c r="L130" i="71"/>
  <c r="F130" i="71"/>
  <c r="C142" i="71"/>
  <c r="C141" i="71"/>
  <c r="A141" i="71" s="1"/>
  <c r="C140" i="71"/>
  <c r="C10" i="71"/>
  <c r="C9" i="71"/>
  <c r="C8" i="71"/>
  <c r="T5" i="71"/>
  <c r="S5" i="71"/>
  <c r="R5" i="71"/>
  <c r="Q5" i="71"/>
  <c r="P5" i="71"/>
  <c r="O5" i="71"/>
  <c r="T4" i="71"/>
  <c r="S4" i="71"/>
  <c r="R4" i="71"/>
  <c r="Q4" i="71"/>
  <c r="P4" i="71"/>
  <c r="O4" i="71"/>
  <c r="AQ159" i="17"/>
  <c r="AR159" i="17"/>
  <c r="AO159" i="17"/>
  <c r="AL159" i="17"/>
  <c r="AJ159" i="17"/>
  <c r="AK159" i="17"/>
  <c r="AM159" i="17"/>
  <c r="AN159" i="17"/>
  <c r="AP159" i="17"/>
  <c r="H40" i="54"/>
  <c r="G40" i="54"/>
  <c r="F40" i="54"/>
  <c r="F122" i="70"/>
  <c r="G122" i="70"/>
  <c r="H122" i="70"/>
  <c r="I122" i="70"/>
  <c r="J122" i="70"/>
  <c r="K122" i="70"/>
  <c r="L122" i="70"/>
  <c r="F123" i="70"/>
  <c r="G123" i="70"/>
  <c r="H123" i="70"/>
  <c r="I123" i="70"/>
  <c r="J123" i="70"/>
  <c r="K123" i="70"/>
  <c r="L123" i="70"/>
  <c r="F124" i="70"/>
  <c r="G124" i="70"/>
  <c r="H124" i="70"/>
  <c r="I124" i="70"/>
  <c r="J124" i="70"/>
  <c r="K124" i="70"/>
  <c r="L124" i="70"/>
  <c r="F125" i="70"/>
  <c r="G125" i="70"/>
  <c r="H125" i="70"/>
  <c r="I125" i="70"/>
  <c r="J125" i="70"/>
  <c r="K125" i="70"/>
  <c r="L125" i="70"/>
  <c r="F126" i="70"/>
  <c r="G126" i="70"/>
  <c r="H126" i="70"/>
  <c r="I126" i="70"/>
  <c r="J126" i="70"/>
  <c r="K126" i="70"/>
  <c r="L126" i="70"/>
  <c r="F127" i="70"/>
  <c r="G127" i="70"/>
  <c r="H127" i="70"/>
  <c r="I127" i="70"/>
  <c r="J127" i="70"/>
  <c r="K127" i="70"/>
  <c r="L127" i="70"/>
  <c r="F128" i="70"/>
  <c r="G128" i="70"/>
  <c r="H128" i="70"/>
  <c r="I128" i="70"/>
  <c r="J128" i="70"/>
  <c r="K128" i="70"/>
  <c r="L128" i="70"/>
  <c r="L121" i="70"/>
  <c r="K121" i="70"/>
  <c r="J121" i="70"/>
  <c r="I121" i="70"/>
  <c r="H121" i="70"/>
  <c r="G121" i="70"/>
  <c r="F121" i="70"/>
  <c r="L83" i="70"/>
  <c r="H83" i="70"/>
  <c r="G83" i="70"/>
  <c r="L82" i="70"/>
  <c r="H82" i="70"/>
  <c r="G82" i="70"/>
  <c r="L81" i="70"/>
  <c r="H81" i="70"/>
  <c r="G81" i="70"/>
  <c r="L80" i="70"/>
  <c r="H80" i="70"/>
  <c r="G80" i="70"/>
  <c r="L79" i="70"/>
  <c r="H79" i="70"/>
  <c r="G79" i="70"/>
  <c r="C133" i="70"/>
  <c r="C132" i="70"/>
  <c r="A132" i="70" s="1"/>
  <c r="C131" i="70"/>
  <c r="C128" i="70"/>
  <c r="C118" i="70"/>
  <c r="C117" i="70"/>
  <c r="C116" i="70"/>
  <c r="C115" i="70"/>
  <c r="C114" i="70"/>
  <c r="C113" i="70"/>
  <c r="C112" i="70"/>
  <c r="C111" i="70"/>
  <c r="C110" i="70"/>
  <c r="C109" i="70"/>
  <c r="C108" i="70"/>
  <c r="C107" i="70"/>
  <c r="C106" i="70"/>
  <c r="C103" i="70"/>
  <c r="C102" i="70"/>
  <c r="C101" i="70"/>
  <c r="C100" i="70"/>
  <c r="C99" i="70"/>
  <c r="C98" i="70"/>
  <c r="C97" i="70"/>
  <c r="C96" i="70"/>
  <c r="C75" i="70"/>
  <c r="C73" i="70"/>
  <c r="C72" i="70"/>
  <c r="C65" i="70"/>
  <c r="C64" i="70"/>
  <c r="C63" i="70"/>
  <c r="C62" i="70"/>
  <c r="C61" i="70"/>
  <c r="C60" i="70"/>
  <c r="C59" i="70"/>
  <c r="C58" i="70"/>
  <c r="C57" i="70"/>
  <c r="C56" i="70"/>
  <c r="C55" i="70"/>
  <c r="C30" i="70"/>
  <c r="C29" i="70"/>
  <c r="C22" i="70"/>
  <c r="C21" i="70"/>
  <c r="C20" i="70"/>
  <c r="C19" i="70"/>
  <c r="C18" i="70"/>
  <c r="C17" i="70"/>
  <c r="C16" i="70"/>
  <c r="C15" i="70"/>
  <c r="C14" i="70"/>
  <c r="C13" i="70"/>
  <c r="C12" i="70"/>
  <c r="C11" i="70"/>
  <c r="C10" i="70"/>
  <c r="C9" i="70"/>
  <c r="C8" i="70"/>
  <c r="T5" i="70"/>
  <c r="S5" i="70"/>
  <c r="R5" i="70"/>
  <c r="Q5" i="70"/>
  <c r="P5" i="70"/>
  <c r="O5" i="70"/>
  <c r="T4" i="70"/>
  <c r="S4" i="70"/>
  <c r="R4" i="70"/>
  <c r="Q4" i="70"/>
  <c r="P4" i="70"/>
  <c r="O4" i="70"/>
  <c r="F241" i="60" a="1"/>
  <c r="F248" i="60" s="1"/>
  <c r="F21" i="54"/>
  <c r="C626" i="66"/>
  <c r="C625" i="66"/>
  <c r="C624" i="66"/>
  <c r="C623" i="66"/>
  <c r="C622" i="66"/>
  <c r="C621" i="66"/>
  <c r="C620" i="66"/>
  <c r="C619" i="66"/>
  <c r="C618" i="66"/>
  <c r="C615" i="66"/>
  <c r="C202" i="60"/>
  <c r="C203" i="60"/>
  <c r="C87" i="59"/>
  <c r="C86" i="59"/>
  <c r="C85" i="59"/>
  <c r="C84" i="59"/>
  <c r="C82" i="59"/>
  <c r="C81" i="59"/>
  <c r="C80" i="59"/>
  <c r="C79" i="59"/>
  <c r="G211" i="59"/>
  <c r="H211" i="59"/>
  <c r="I211" i="59"/>
  <c r="J211" i="59"/>
  <c r="K211" i="59"/>
  <c r="L211" i="59"/>
  <c r="F211" i="59"/>
  <c r="G205" i="59"/>
  <c r="H205" i="59"/>
  <c r="I205" i="59"/>
  <c r="J205" i="59"/>
  <c r="K205" i="59"/>
  <c r="K213" i="59" s="1"/>
  <c r="L205" i="59"/>
  <c r="L213" i="59" s="1"/>
  <c r="F205" i="59"/>
  <c r="G197" i="59"/>
  <c r="H197" i="59"/>
  <c r="I197" i="59"/>
  <c r="J197" i="59"/>
  <c r="K197" i="59"/>
  <c r="L197" i="59"/>
  <c r="F197" i="59"/>
  <c r="G187" i="59"/>
  <c r="H187" i="59"/>
  <c r="J187" i="59"/>
  <c r="L187" i="59"/>
  <c r="F187" i="59"/>
  <c r="G181" i="59"/>
  <c r="H181" i="59"/>
  <c r="J181" i="59"/>
  <c r="L181" i="59"/>
  <c r="F181" i="59"/>
  <c r="G173" i="59"/>
  <c r="H173" i="59"/>
  <c r="J173" i="59"/>
  <c r="L173" i="59"/>
  <c r="F173" i="59"/>
  <c r="G163" i="59"/>
  <c r="H163" i="59"/>
  <c r="J163" i="59"/>
  <c r="L163" i="59"/>
  <c r="F163" i="59"/>
  <c r="G157" i="59"/>
  <c r="H157" i="59"/>
  <c r="J157" i="59"/>
  <c r="L157" i="59"/>
  <c r="F157" i="59"/>
  <c r="G149" i="59"/>
  <c r="H149" i="59"/>
  <c r="J149" i="59"/>
  <c r="L149" i="59"/>
  <c r="F149" i="59"/>
  <c r="C514" i="66"/>
  <c r="C515" i="66"/>
  <c r="C516" i="66"/>
  <c r="C517" i="66"/>
  <c r="C518" i="66"/>
  <c r="C519" i="66"/>
  <c r="C520" i="66"/>
  <c r="C521" i="66"/>
  <c r="C522" i="66"/>
  <c r="C523" i="66"/>
  <c r="C524" i="66"/>
  <c r="C525" i="66"/>
  <c r="C526" i="66"/>
  <c r="C527" i="66"/>
  <c r="C528" i="66"/>
  <c r="C529" i="66"/>
  <c r="C530" i="66"/>
  <c r="C531" i="66"/>
  <c r="C532" i="66"/>
  <c r="C533" i="66"/>
  <c r="C534" i="66"/>
  <c r="C535" i="66"/>
  <c r="C536" i="66"/>
  <c r="C537" i="66"/>
  <c r="C538" i="66"/>
  <c r="C539" i="66"/>
  <c r="C540" i="66"/>
  <c r="C541" i="66"/>
  <c r="C542" i="66"/>
  <c r="C543" i="66"/>
  <c r="C544" i="66"/>
  <c r="C545" i="66"/>
  <c r="C546" i="66"/>
  <c r="C547" i="66"/>
  <c r="C548" i="66"/>
  <c r="C549" i="66"/>
  <c r="C551" i="66"/>
  <c r="C552" i="66"/>
  <c r="C553" i="66"/>
  <c r="C554" i="66"/>
  <c r="C555" i="66"/>
  <c r="C556" i="66"/>
  <c r="C557" i="66"/>
  <c r="C558" i="66"/>
  <c r="C559" i="66"/>
  <c r="C560" i="66"/>
  <c r="C561" i="66"/>
  <c r="C562" i="66"/>
  <c r="C563" i="66"/>
  <c r="C564" i="66"/>
  <c r="C565" i="66"/>
  <c r="C566" i="66"/>
  <c r="C567" i="66"/>
  <c r="C568" i="66"/>
  <c r="C569" i="66"/>
  <c r="C570" i="66"/>
  <c r="C571" i="66"/>
  <c r="C572" i="66"/>
  <c r="C573" i="66"/>
  <c r="C574" i="66"/>
  <c r="C575" i="66"/>
  <c r="C576" i="66"/>
  <c r="C577" i="66"/>
  <c r="C578" i="66"/>
  <c r="C579" i="66"/>
  <c r="C580" i="66"/>
  <c r="C581" i="66"/>
  <c r="C582" i="66"/>
  <c r="C583" i="66"/>
  <c r="C584" i="66"/>
  <c r="C585" i="66"/>
  <c r="C586" i="66"/>
  <c r="C587" i="66"/>
  <c r="C588" i="66"/>
  <c r="C589" i="66"/>
  <c r="C590" i="66"/>
  <c r="C591" i="66"/>
  <c r="C592" i="66"/>
  <c r="C593" i="66"/>
  <c r="C594" i="66"/>
  <c r="C595" i="66"/>
  <c r="C596" i="66"/>
  <c r="C597" i="66"/>
  <c r="C598" i="66"/>
  <c r="C599" i="66"/>
  <c r="C600" i="66"/>
  <c r="C601" i="66"/>
  <c r="C602" i="66"/>
  <c r="C603" i="66"/>
  <c r="C604" i="66"/>
  <c r="C605" i="66"/>
  <c r="C606" i="66"/>
  <c r="C607" i="66"/>
  <c r="C608" i="66"/>
  <c r="C609" i="66"/>
  <c r="C610" i="66"/>
  <c r="C611" i="66"/>
  <c r="C612" i="66"/>
  <c r="C613" i="66"/>
  <c r="C628" i="66"/>
  <c r="C629" i="66"/>
  <c r="C630" i="66"/>
  <c r="C631" i="66"/>
  <c r="C632" i="66"/>
  <c r="C633" i="66"/>
  <c r="C634" i="66"/>
  <c r="C635" i="66"/>
  <c r="C636" i="66"/>
  <c r="C637" i="66"/>
  <c r="C638" i="66"/>
  <c r="C639" i="66"/>
  <c r="C640" i="66"/>
  <c r="C641" i="66"/>
  <c r="C642" i="66"/>
  <c r="C643" i="66"/>
  <c r="C644" i="66"/>
  <c r="C645" i="66"/>
  <c r="C646" i="66"/>
  <c r="C647" i="66"/>
  <c r="C648" i="66"/>
  <c r="C649" i="66"/>
  <c r="C650" i="66"/>
  <c r="C651" i="66"/>
  <c r="C652" i="66"/>
  <c r="C653" i="66"/>
  <c r="C654" i="66"/>
  <c r="C655" i="66"/>
  <c r="C656" i="66"/>
  <c r="C657" i="66"/>
  <c r="C658" i="66"/>
  <c r="C659" i="66"/>
  <c r="C660" i="66"/>
  <c r="C661" i="66"/>
  <c r="C662" i="66"/>
  <c r="C663" i="66"/>
  <c r="C664" i="66"/>
  <c r="C665" i="66"/>
  <c r="C666" i="66"/>
  <c r="C667" i="66"/>
  <c r="C668" i="66"/>
  <c r="C669" i="66"/>
  <c r="C674" i="66"/>
  <c r="C675" i="66"/>
  <c r="C676" i="66"/>
  <c r="C677" i="66"/>
  <c r="C678" i="66"/>
  <c r="C679" i="66"/>
  <c r="C680" i="66"/>
  <c r="C681" i="66"/>
  <c r="C682" i="66"/>
  <c r="C683" i="66"/>
  <c r="C684" i="66"/>
  <c r="C685" i="66"/>
  <c r="C686" i="66"/>
  <c r="C687" i="66"/>
  <c r="C688" i="66"/>
  <c r="C689" i="66"/>
  <c r="C690" i="66"/>
  <c r="H37" i="54"/>
  <c r="G37" i="54"/>
  <c r="F37" i="54"/>
  <c r="C235" i="67"/>
  <c r="C217" i="67"/>
  <c r="G35" i="54"/>
  <c r="H35" i="54"/>
  <c r="F35" i="54"/>
  <c r="H34" i="54"/>
  <c r="G34" i="54"/>
  <c r="F34" i="54"/>
  <c r="S5" i="30"/>
  <c r="L93" i="68"/>
  <c r="K93" i="68"/>
  <c r="J93" i="68"/>
  <c r="I93" i="68"/>
  <c r="H93" i="68"/>
  <c r="G93" i="68"/>
  <c r="F93" i="68"/>
  <c r="L92" i="68"/>
  <c r="K92" i="68"/>
  <c r="J92" i="68"/>
  <c r="I92" i="68"/>
  <c r="H92" i="68"/>
  <c r="G92" i="68"/>
  <c r="F92" i="68"/>
  <c r="L91" i="68"/>
  <c r="K91" i="68"/>
  <c r="J91" i="68"/>
  <c r="I91" i="68"/>
  <c r="H91" i="68"/>
  <c r="H89" i="68" s="1"/>
  <c r="G91" i="68"/>
  <c r="F91" i="68"/>
  <c r="L90" i="68"/>
  <c r="K90" i="68"/>
  <c r="J90" i="68"/>
  <c r="I90" i="68"/>
  <c r="H90" i="68"/>
  <c r="G90" i="68"/>
  <c r="F90" i="68"/>
  <c r="T5" i="68"/>
  <c r="S5" i="68"/>
  <c r="R5" i="68"/>
  <c r="Q5" i="68"/>
  <c r="P5" i="68"/>
  <c r="O5" i="68"/>
  <c r="T4" i="68"/>
  <c r="S4" i="68"/>
  <c r="R4" i="68"/>
  <c r="Q4" i="68"/>
  <c r="P4" i="68"/>
  <c r="O4" i="68"/>
  <c r="L359" i="67"/>
  <c r="K359" i="67"/>
  <c r="J359" i="67"/>
  <c r="I359" i="67"/>
  <c r="H359" i="67"/>
  <c r="G359" i="67"/>
  <c r="F359" i="67"/>
  <c r="L358" i="67"/>
  <c r="K358" i="67"/>
  <c r="J358" i="67"/>
  <c r="I358" i="67"/>
  <c r="H358" i="67"/>
  <c r="G358" i="67"/>
  <c r="F358" i="67"/>
  <c r="L357" i="67"/>
  <c r="K357" i="67"/>
  <c r="J357" i="67"/>
  <c r="I357" i="67"/>
  <c r="H357" i="67"/>
  <c r="G357" i="67"/>
  <c r="F357" i="67"/>
  <c r="L356" i="67"/>
  <c r="K356" i="67"/>
  <c r="J356" i="67"/>
  <c r="I356" i="67"/>
  <c r="H356" i="67"/>
  <c r="G356" i="67"/>
  <c r="F356" i="67"/>
  <c r="L355" i="67"/>
  <c r="K355" i="67"/>
  <c r="J355" i="67"/>
  <c r="I355" i="67"/>
  <c r="H355" i="67"/>
  <c r="G355" i="67"/>
  <c r="F355" i="67"/>
  <c r="L353" i="67"/>
  <c r="K353" i="67"/>
  <c r="J353" i="67"/>
  <c r="I353" i="67"/>
  <c r="H353" i="67"/>
  <c r="G353" i="67"/>
  <c r="F353" i="67"/>
  <c r="L352" i="67"/>
  <c r="K352" i="67"/>
  <c r="J352" i="67"/>
  <c r="I352" i="67"/>
  <c r="H352" i="67"/>
  <c r="G352" i="67"/>
  <c r="F352" i="67"/>
  <c r="L351" i="67"/>
  <c r="K351" i="67"/>
  <c r="J351" i="67"/>
  <c r="I351" i="67"/>
  <c r="H351" i="67"/>
  <c r="G351" i="67"/>
  <c r="F351" i="67"/>
  <c r="L350" i="67"/>
  <c r="K350" i="67"/>
  <c r="J350" i="67"/>
  <c r="I350" i="67"/>
  <c r="H350" i="67"/>
  <c r="G350" i="67"/>
  <c r="F350" i="67"/>
  <c r="L349" i="67"/>
  <c r="K349" i="67"/>
  <c r="J349" i="67"/>
  <c r="I349" i="67"/>
  <c r="H349" i="67"/>
  <c r="G349" i="67"/>
  <c r="F349" i="67"/>
  <c r="L348" i="67"/>
  <c r="K348" i="67"/>
  <c r="J348" i="67"/>
  <c r="I348" i="67"/>
  <c r="H348" i="67"/>
  <c r="G348" i="67"/>
  <c r="F348" i="67"/>
  <c r="L347" i="67"/>
  <c r="K347" i="67"/>
  <c r="J347" i="67"/>
  <c r="I347" i="67"/>
  <c r="H347" i="67"/>
  <c r="G347" i="67"/>
  <c r="F347" i="67"/>
  <c r="T5" i="67"/>
  <c r="S5" i="67"/>
  <c r="R5" i="67"/>
  <c r="Q5" i="67"/>
  <c r="P5" i="67"/>
  <c r="O5" i="67"/>
  <c r="T4" i="67"/>
  <c r="S4" i="67"/>
  <c r="R4" i="67"/>
  <c r="Q4" i="67"/>
  <c r="P4" i="67"/>
  <c r="O4" i="67"/>
  <c r="C98" i="68"/>
  <c r="C97" i="68"/>
  <c r="A97" i="68" s="1"/>
  <c r="C96" i="68"/>
  <c r="C93" i="68"/>
  <c r="C87" i="68"/>
  <c r="C86" i="68"/>
  <c r="C85" i="68"/>
  <c r="C84" i="68"/>
  <c r="C83" i="68"/>
  <c r="C82" i="68"/>
  <c r="C81" i="68"/>
  <c r="C80" i="68"/>
  <c r="C79" i="68"/>
  <c r="C78" i="68"/>
  <c r="C77" i="68"/>
  <c r="C75" i="68"/>
  <c r="C74" i="68"/>
  <c r="C73" i="68"/>
  <c r="C72" i="68"/>
  <c r="C71" i="68"/>
  <c r="C70" i="68"/>
  <c r="C69" i="68"/>
  <c r="C68" i="68"/>
  <c r="C67" i="68"/>
  <c r="C66" i="68"/>
  <c r="C65" i="68"/>
  <c r="C64" i="68"/>
  <c r="C63" i="68"/>
  <c r="C62" i="68"/>
  <c r="C61" i="68"/>
  <c r="C60" i="68"/>
  <c r="C59" i="68"/>
  <c r="C58" i="68"/>
  <c r="C57" i="68"/>
  <c r="C56" i="68"/>
  <c r="C55" i="68"/>
  <c r="C54" i="68"/>
  <c r="C53" i="68"/>
  <c r="C52" i="68"/>
  <c r="C51" i="68"/>
  <c r="C50" i="68"/>
  <c r="C49" i="68"/>
  <c r="C48" i="68"/>
  <c r="C47" i="68"/>
  <c r="C46" i="68"/>
  <c r="C45" i="68"/>
  <c r="C44" i="68"/>
  <c r="C43" i="68"/>
  <c r="C42" i="68"/>
  <c r="C41" i="68"/>
  <c r="C40" i="68"/>
  <c r="C39" i="68"/>
  <c r="C38" i="68"/>
  <c r="C37" i="68"/>
  <c r="C36" i="68"/>
  <c r="C35" i="68"/>
  <c r="C33" i="68"/>
  <c r="C32" i="68"/>
  <c r="C31" i="68"/>
  <c r="C30" i="68"/>
  <c r="C29" i="68"/>
  <c r="C28" i="68"/>
  <c r="C27" i="68"/>
  <c r="C26" i="68"/>
  <c r="C25" i="68"/>
  <c r="C24" i="68"/>
  <c r="C23" i="68"/>
  <c r="C22" i="68"/>
  <c r="C21" i="68"/>
  <c r="C20" i="68"/>
  <c r="C19" i="68"/>
  <c r="C18" i="68"/>
  <c r="L17" i="68"/>
  <c r="J17" i="68"/>
  <c r="H17" i="68"/>
  <c r="F17" i="68"/>
  <c r="C17" i="68"/>
  <c r="C16" i="68"/>
  <c r="C15" i="68"/>
  <c r="C14" i="68"/>
  <c r="C13" i="68"/>
  <c r="C12" i="68"/>
  <c r="C11" i="68"/>
  <c r="C10" i="68"/>
  <c r="C9" i="68"/>
  <c r="C8" i="68"/>
  <c r="C361" i="67"/>
  <c r="C360" i="67"/>
  <c r="C347" i="67"/>
  <c r="C346" i="67"/>
  <c r="C345" i="67"/>
  <c r="C344" i="67"/>
  <c r="C343" i="67"/>
  <c r="C342" i="67"/>
  <c r="C341" i="67"/>
  <c r="C340" i="67"/>
  <c r="C339" i="67"/>
  <c r="C338" i="67"/>
  <c r="C337" i="67"/>
  <c r="C336" i="67"/>
  <c r="C335" i="67"/>
  <c r="C334" i="67"/>
  <c r="C333" i="67"/>
  <c r="C332" i="67"/>
  <c r="C331" i="67"/>
  <c r="C329" i="67"/>
  <c r="C326" i="67"/>
  <c r="L325" i="67"/>
  <c r="K325" i="67"/>
  <c r="J325" i="67"/>
  <c r="I325" i="67"/>
  <c r="H325" i="67"/>
  <c r="G325" i="67"/>
  <c r="C325" i="67"/>
  <c r="C324" i="67"/>
  <c r="C323" i="67"/>
  <c r="C322" i="67"/>
  <c r="C321" i="67"/>
  <c r="C320" i="67"/>
  <c r="C319" i="67"/>
  <c r="C318" i="67"/>
  <c r="C317" i="67"/>
  <c r="C315" i="67"/>
  <c r="C312" i="67"/>
  <c r="L311" i="67"/>
  <c r="K311" i="67"/>
  <c r="J311" i="67"/>
  <c r="I311" i="67"/>
  <c r="H311" i="67"/>
  <c r="G311" i="67"/>
  <c r="C311" i="67"/>
  <c r="C310" i="67"/>
  <c r="C309" i="67"/>
  <c r="C308" i="67"/>
  <c r="C307" i="67"/>
  <c r="C306" i="67"/>
  <c r="C305" i="67"/>
  <c r="C304" i="67"/>
  <c r="C303" i="67"/>
  <c r="C302" i="67"/>
  <c r="C301" i="67"/>
  <c r="C300" i="67"/>
  <c r="C299" i="67"/>
  <c r="C298" i="67"/>
  <c r="C297" i="67"/>
  <c r="C296" i="67"/>
  <c r="C295" i="67"/>
  <c r="C294" i="67"/>
  <c r="C293" i="67"/>
  <c r="C292" i="67"/>
  <c r="C291" i="67"/>
  <c r="C290" i="67"/>
  <c r="C289" i="67"/>
  <c r="C288" i="67"/>
  <c r="C287" i="67"/>
  <c r="C286" i="67"/>
  <c r="C285" i="67"/>
  <c r="C284" i="67"/>
  <c r="C283" i="67"/>
  <c r="C282" i="67"/>
  <c r="C281" i="67"/>
  <c r="C280" i="67"/>
  <c r="C279" i="67"/>
  <c r="C278" i="67"/>
  <c r="C277" i="67"/>
  <c r="C276" i="67"/>
  <c r="C275" i="67"/>
  <c r="C274" i="67"/>
  <c r="C273" i="67"/>
  <c r="C272" i="67"/>
  <c r="C271" i="67"/>
  <c r="C270" i="67"/>
  <c r="C269" i="67"/>
  <c r="C268" i="67"/>
  <c r="L267" i="67"/>
  <c r="J267" i="67"/>
  <c r="H267" i="67"/>
  <c r="F267" i="67"/>
  <c r="C267" i="67"/>
  <c r="C266" i="67"/>
  <c r="C265" i="67"/>
  <c r="C238" i="67"/>
  <c r="C237" i="67"/>
  <c r="C236" i="67"/>
  <c r="C233" i="67"/>
  <c r="C232" i="67"/>
  <c r="C231" i="67"/>
  <c r="C230" i="67"/>
  <c r="C229" i="67"/>
  <c r="C228" i="67"/>
  <c r="C227" i="67"/>
  <c r="C226" i="67"/>
  <c r="C225" i="67"/>
  <c r="C224" i="67"/>
  <c r="C223" i="67"/>
  <c r="C222" i="67"/>
  <c r="C221" i="67"/>
  <c r="C220" i="67"/>
  <c r="C219" i="67"/>
  <c r="C218" i="67"/>
  <c r="C214" i="67"/>
  <c r="C213" i="67"/>
  <c r="C212" i="67"/>
  <c r="C211" i="67"/>
  <c r="C210" i="67"/>
  <c r="C209" i="67"/>
  <c r="C208" i="67"/>
  <c r="C205" i="67"/>
  <c r="C204" i="67"/>
  <c r="C203" i="67"/>
  <c r="C202" i="67"/>
  <c r="C201" i="67"/>
  <c r="C200" i="67"/>
  <c r="C199" i="67"/>
  <c r="C198" i="67"/>
  <c r="C197" i="67"/>
  <c r="C196" i="67"/>
  <c r="C195" i="67"/>
  <c r="C194" i="67"/>
  <c r="C193" i="67"/>
  <c r="C192" i="67"/>
  <c r="C191" i="67"/>
  <c r="C188" i="67"/>
  <c r="C187" i="67"/>
  <c r="C186" i="67"/>
  <c r="C185" i="67"/>
  <c r="C184" i="67"/>
  <c r="C183" i="67"/>
  <c r="C182" i="67"/>
  <c r="C181" i="67"/>
  <c r="C180" i="67"/>
  <c r="C177" i="67"/>
  <c r="C176" i="67"/>
  <c r="C175" i="67"/>
  <c r="C174" i="67"/>
  <c r="C173" i="67"/>
  <c r="C172" i="67"/>
  <c r="C171" i="67"/>
  <c r="C170" i="67"/>
  <c r="C169" i="67"/>
  <c r="C168" i="67"/>
  <c r="C166" i="67"/>
  <c r="C165" i="67"/>
  <c r="C164" i="67"/>
  <c r="C163" i="67"/>
  <c r="C162" i="67"/>
  <c r="C161" i="67"/>
  <c r="C160" i="67"/>
  <c r="C159" i="67"/>
  <c r="C158" i="67"/>
  <c r="C148" i="67"/>
  <c r="C147" i="67"/>
  <c r="C145" i="67"/>
  <c r="C144" i="67"/>
  <c r="C143" i="67"/>
  <c r="C142" i="67"/>
  <c r="C140" i="67"/>
  <c r="C139" i="67"/>
  <c r="C138" i="67"/>
  <c r="C137" i="67"/>
  <c r="C136" i="67"/>
  <c r="C135" i="67"/>
  <c r="C134" i="67"/>
  <c r="C133" i="67"/>
  <c r="C132" i="67"/>
  <c r="C131" i="67"/>
  <c r="C130" i="67"/>
  <c r="C129" i="67"/>
  <c r="L128" i="67"/>
  <c r="K128" i="67"/>
  <c r="J128" i="67"/>
  <c r="I128" i="67"/>
  <c r="H128" i="67"/>
  <c r="G128" i="67"/>
  <c r="F128" i="67"/>
  <c r="C127" i="67"/>
  <c r="C126" i="67"/>
  <c r="C125" i="67"/>
  <c r="C124" i="67"/>
  <c r="C123" i="67"/>
  <c r="C98" i="67"/>
  <c r="C97" i="67"/>
  <c r="C96" i="67"/>
  <c r="C95" i="67"/>
  <c r="C94" i="67"/>
  <c r="C93" i="67"/>
  <c r="C92" i="67"/>
  <c r="C91" i="67"/>
  <c r="C90" i="67"/>
  <c r="C89" i="67"/>
  <c r="C88" i="67"/>
  <c r="C87" i="67"/>
  <c r="C86" i="67"/>
  <c r="C85" i="67"/>
  <c r="C84" i="67"/>
  <c r="C83" i="67"/>
  <c r="C82" i="67"/>
  <c r="C80" i="67"/>
  <c r="C79" i="67"/>
  <c r="C78" i="67"/>
  <c r="C77" i="67"/>
  <c r="C76" i="67"/>
  <c r="C75" i="67"/>
  <c r="C74" i="67"/>
  <c r="C73" i="67"/>
  <c r="C72" i="67"/>
  <c r="C71" i="67"/>
  <c r="C70" i="67"/>
  <c r="C57" i="67"/>
  <c r="C56" i="67"/>
  <c r="C55" i="67"/>
  <c r="C54" i="67"/>
  <c r="C53" i="67"/>
  <c r="C52" i="67"/>
  <c r="C51" i="67"/>
  <c r="C50" i="67"/>
  <c r="C49" i="67"/>
  <c r="C48" i="67"/>
  <c r="C47" i="67"/>
  <c r="C46" i="67"/>
  <c r="C39" i="67"/>
  <c r="C38" i="67"/>
  <c r="C37" i="67"/>
  <c r="C36" i="67"/>
  <c r="C35" i="67"/>
  <c r="C34" i="67"/>
  <c r="C33" i="67"/>
  <c r="C32" i="67"/>
  <c r="C31" i="67"/>
  <c r="C30" i="67"/>
  <c r="C29" i="67"/>
  <c r="C28" i="67"/>
  <c r="C26" i="67"/>
  <c r="C25" i="67"/>
  <c r="C24" i="67"/>
  <c r="C23" i="67"/>
  <c r="C22" i="67"/>
  <c r="C21" i="67"/>
  <c r="C20" i="67"/>
  <c r="C19" i="67"/>
  <c r="C18" i="67"/>
  <c r="C17" i="67"/>
  <c r="C16" i="67"/>
  <c r="C15" i="67"/>
  <c r="C14" i="67"/>
  <c r="C13" i="67"/>
  <c r="C12" i="67"/>
  <c r="C11" i="67"/>
  <c r="C10" i="67"/>
  <c r="C9" i="67"/>
  <c r="C8" i="67"/>
  <c r="G33" i="54"/>
  <c r="F33" i="54"/>
  <c r="H32" i="54"/>
  <c r="G32" i="54"/>
  <c r="F32" i="54"/>
  <c r="H31" i="54"/>
  <c r="G31" i="54"/>
  <c r="F31" i="54"/>
  <c r="L241" i="60" a="1"/>
  <c r="L243" i="60" s="1"/>
  <c r="K241" i="60" a="1"/>
  <c r="K256" i="60" s="1"/>
  <c r="J241" i="60" a="1"/>
  <c r="J241" i="60" s="1"/>
  <c r="I241" i="60" a="1"/>
  <c r="I241" i="60" s="1"/>
  <c r="H241" i="60" a="1"/>
  <c r="H241" i="60" s="1"/>
  <c r="G241" i="60" a="1"/>
  <c r="G241" i="60" s="1"/>
  <c r="L323" i="64" a="1"/>
  <c r="L340" i="64" s="1"/>
  <c r="K323" i="64" a="1"/>
  <c r="K332" i="64" s="1"/>
  <c r="J323" i="64" a="1"/>
  <c r="J323" i="64" s="1"/>
  <c r="I323" i="64" a="1"/>
  <c r="I323" i="64" s="1"/>
  <c r="H323" i="64" a="1"/>
  <c r="H326" i="64" s="1"/>
  <c r="G323" i="64" a="1"/>
  <c r="G323" i="64" s="1"/>
  <c r="F323" i="64" a="1"/>
  <c r="F339" i="64" s="1"/>
  <c r="L520" i="30" a="1"/>
  <c r="L536" i="30" s="1"/>
  <c r="K520" i="30" a="1"/>
  <c r="K520" i="30" s="1"/>
  <c r="J520" i="30" a="1"/>
  <c r="J527" i="30" s="1"/>
  <c r="I520" i="30" a="1"/>
  <c r="I520" i="30" s="1"/>
  <c r="H520" i="30" a="1"/>
  <c r="H520" i="30" s="1"/>
  <c r="G520" i="30" a="1"/>
  <c r="G537" i="30" s="1"/>
  <c r="F520" i="30" a="1"/>
  <c r="F525" i="30" s="1"/>
  <c r="C507" i="66"/>
  <c r="C506" i="66"/>
  <c r="C505" i="66"/>
  <c r="C504" i="66"/>
  <c r="C503" i="66"/>
  <c r="C502" i="66"/>
  <c r="C501" i="66"/>
  <c r="C500" i="66"/>
  <c r="C499" i="66"/>
  <c r="C498" i="66"/>
  <c r="C497" i="66"/>
  <c r="C496" i="66"/>
  <c r="C495" i="66"/>
  <c r="C494" i="66"/>
  <c r="C493" i="66"/>
  <c r="C492" i="66"/>
  <c r="C491" i="66"/>
  <c r="C490" i="66"/>
  <c r="C489" i="66"/>
  <c r="C488" i="66"/>
  <c r="C487" i="66"/>
  <c r="C486" i="66"/>
  <c r="C485" i="66"/>
  <c r="C484" i="66"/>
  <c r="C483" i="66"/>
  <c r="C482" i="66"/>
  <c r="C481" i="66"/>
  <c r="C480" i="66"/>
  <c r="C479" i="66"/>
  <c r="C478" i="66"/>
  <c r="C477" i="66"/>
  <c r="C476" i="66"/>
  <c r="C475" i="66"/>
  <c r="C474" i="66"/>
  <c r="H5" i="66" s="1"/>
  <c r="C473" i="66"/>
  <c r="C472" i="66"/>
  <c r="C471" i="66"/>
  <c r="C470" i="66"/>
  <c r="C469" i="66"/>
  <c r="C468" i="66"/>
  <c r="C467" i="66"/>
  <c r="C466" i="66"/>
  <c r="C465" i="66"/>
  <c r="C464" i="66"/>
  <c r="C463" i="66"/>
  <c r="C462" i="66"/>
  <c r="C461" i="66"/>
  <c r="C460" i="66"/>
  <c r="C459" i="66"/>
  <c r="C458" i="66"/>
  <c r="C457" i="66"/>
  <c r="C456" i="66"/>
  <c r="C455" i="66"/>
  <c r="C454" i="66"/>
  <c r="C453" i="66"/>
  <c r="C452" i="66"/>
  <c r="C451" i="66"/>
  <c r="C450" i="66"/>
  <c r="C449" i="66"/>
  <c r="C448" i="66"/>
  <c r="C447" i="66"/>
  <c r="C446" i="66"/>
  <c r="C445" i="66"/>
  <c r="C444" i="66"/>
  <c r="C443" i="66"/>
  <c r="C442" i="66"/>
  <c r="C441" i="66"/>
  <c r="C440" i="66"/>
  <c r="C439" i="66"/>
  <c r="C438" i="66"/>
  <c r="C437" i="66"/>
  <c r="C436" i="66"/>
  <c r="C435" i="66"/>
  <c r="C434" i="66"/>
  <c r="C433" i="66"/>
  <c r="C432" i="66"/>
  <c r="C431" i="66"/>
  <c r="C430" i="66"/>
  <c r="C429" i="66"/>
  <c r="C428" i="66"/>
  <c r="C427" i="66"/>
  <c r="C426" i="66"/>
  <c r="C425" i="66"/>
  <c r="C424" i="66"/>
  <c r="C423" i="66"/>
  <c r="C422" i="66"/>
  <c r="C421" i="66"/>
  <c r="C420" i="66"/>
  <c r="C419" i="66"/>
  <c r="C418" i="66"/>
  <c r="C417" i="66"/>
  <c r="C416" i="66"/>
  <c r="C415" i="66"/>
  <c r="C414" i="66"/>
  <c r="C413" i="66"/>
  <c r="C412" i="66"/>
  <c r="C411" i="66"/>
  <c r="C410" i="66"/>
  <c r="C409" i="66"/>
  <c r="C408" i="66"/>
  <c r="C407" i="66"/>
  <c r="C406" i="66"/>
  <c r="C405" i="66"/>
  <c r="C404" i="66"/>
  <c r="C403" i="66"/>
  <c r="C402" i="66"/>
  <c r="C401" i="66"/>
  <c r="C400" i="66"/>
  <c r="C399" i="66"/>
  <c r="C398" i="66"/>
  <c r="C397" i="66"/>
  <c r="C396" i="66"/>
  <c r="C395" i="66"/>
  <c r="C394" i="66"/>
  <c r="C393" i="66"/>
  <c r="C392" i="66"/>
  <c r="C391" i="66"/>
  <c r="C390" i="66"/>
  <c r="C389" i="66"/>
  <c r="C388" i="66"/>
  <c r="C387" i="66"/>
  <c r="C386" i="66"/>
  <c r="C385" i="66"/>
  <c r="C384" i="66"/>
  <c r="C383" i="66"/>
  <c r="C382" i="66"/>
  <c r="C381" i="66"/>
  <c r="C380" i="66"/>
  <c r="C379" i="66"/>
  <c r="C378" i="66"/>
  <c r="C377" i="66"/>
  <c r="C376" i="66"/>
  <c r="C375" i="66"/>
  <c r="C374" i="66"/>
  <c r="C373" i="66"/>
  <c r="C372" i="66"/>
  <c r="C371" i="66"/>
  <c r="C370" i="66"/>
  <c r="C369" i="66"/>
  <c r="C368" i="66"/>
  <c r="C367" i="66"/>
  <c r="C366" i="66"/>
  <c r="C365" i="66"/>
  <c r="C364" i="66"/>
  <c r="C363" i="66"/>
  <c r="C362" i="66"/>
  <c r="C361" i="66"/>
  <c r="C360" i="66"/>
  <c r="C359" i="66"/>
  <c r="C358" i="66"/>
  <c r="C357" i="66"/>
  <c r="C356" i="66"/>
  <c r="C355" i="66"/>
  <c r="C354" i="66"/>
  <c r="C353" i="66"/>
  <c r="C352" i="66"/>
  <c r="C351" i="66"/>
  <c r="C350" i="66"/>
  <c r="C349" i="66"/>
  <c r="C348" i="66"/>
  <c r="C347" i="66"/>
  <c r="C346" i="66"/>
  <c r="C345" i="66"/>
  <c r="C344" i="66"/>
  <c r="C343" i="66"/>
  <c r="C342" i="66"/>
  <c r="C341" i="66"/>
  <c r="C340" i="66"/>
  <c r="C339" i="66"/>
  <c r="C338" i="66"/>
  <c r="C337" i="66"/>
  <c r="C336" i="66"/>
  <c r="C335" i="66"/>
  <c r="C334" i="66"/>
  <c r="C333" i="66"/>
  <c r="C332" i="66"/>
  <c r="C331" i="66"/>
  <c r="C330" i="66"/>
  <c r="C329" i="66"/>
  <c r="C328" i="66"/>
  <c r="C327" i="66"/>
  <c r="C326" i="66"/>
  <c r="C325" i="66"/>
  <c r="C324" i="66"/>
  <c r="C323" i="66"/>
  <c r="C322" i="66"/>
  <c r="C321" i="66"/>
  <c r="C320" i="66"/>
  <c r="C319" i="66"/>
  <c r="C318" i="66"/>
  <c r="C317" i="66"/>
  <c r="C316" i="66"/>
  <c r="C315" i="66"/>
  <c r="C314" i="66"/>
  <c r="C313" i="66"/>
  <c r="C312" i="66"/>
  <c r="C311" i="66"/>
  <c r="C310" i="66"/>
  <c r="C309" i="66"/>
  <c r="C308" i="66"/>
  <c r="C307" i="66"/>
  <c r="C306" i="66"/>
  <c r="C305" i="66"/>
  <c r="C304" i="66"/>
  <c r="C303" i="66"/>
  <c r="C302" i="66"/>
  <c r="C301" i="66"/>
  <c r="C300" i="66"/>
  <c r="C299" i="66"/>
  <c r="C298" i="66"/>
  <c r="C297" i="66"/>
  <c r="C296" i="66"/>
  <c r="C295" i="66"/>
  <c r="C294" i="66"/>
  <c r="C293" i="66"/>
  <c r="C292" i="66"/>
  <c r="C291" i="66"/>
  <c r="C290" i="66"/>
  <c r="C289" i="66"/>
  <c r="C288" i="66"/>
  <c r="C287" i="66"/>
  <c r="C286" i="66"/>
  <c r="C285" i="66"/>
  <c r="C284" i="66"/>
  <c r="C283" i="66"/>
  <c r="C282" i="66"/>
  <c r="C281" i="66"/>
  <c r="C280" i="66"/>
  <c r="C279" i="66"/>
  <c r="C278" i="66"/>
  <c r="C277" i="66"/>
  <c r="C276" i="66"/>
  <c r="C275" i="66"/>
  <c r="C274" i="66"/>
  <c r="C273" i="66"/>
  <c r="C272" i="66"/>
  <c r="C271" i="66"/>
  <c r="C270" i="66"/>
  <c r="C269" i="66"/>
  <c r="C268" i="66"/>
  <c r="C267" i="66"/>
  <c r="C266" i="66"/>
  <c r="C265" i="66"/>
  <c r="C264" i="66"/>
  <c r="C263" i="66"/>
  <c r="C262" i="66"/>
  <c r="C261" i="66"/>
  <c r="C260" i="66"/>
  <c r="C259" i="66"/>
  <c r="C258" i="66"/>
  <c r="C257" i="66"/>
  <c r="C256" i="66"/>
  <c r="C255" i="66"/>
  <c r="C254" i="66"/>
  <c r="C253" i="66"/>
  <c r="C252" i="66"/>
  <c r="C251" i="66"/>
  <c r="C250" i="66"/>
  <c r="C249" i="66"/>
  <c r="C248" i="66"/>
  <c r="C247" i="66"/>
  <c r="C246" i="66"/>
  <c r="C245" i="66"/>
  <c r="C244" i="66"/>
  <c r="C243" i="66"/>
  <c r="C242" i="66"/>
  <c r="C241" i="66"/>
  <c r="C240" i="66"/>
  <c r="C239" i="66"/>
  <c r="C238" i="66"/>
  <c r="C237" i="66"/>
  <c r="C236" i="66"/>
  <c r="C235" i="66"/>
  <c r="C234" i="66"/>
  <c r="C233" i="66"/>
  <c r="C232" i="66"/>
  <c r="C231" i="66"/>
  <c r="C230" i="66"/>
  <c r="C229" i="66"/>
  <c r="C228" i="66"/>
  <c r="C227" i="66"/>
  <c r="C226" i="66"/>
  <c r="C225" i="66"/>
  <c r="C224" i="66"/>
  <c r="C223" i="66"/>
  <c r="C222" i="66"/>
  <c r="C221" i="66"/>
  <c r="C220" i="66"/>
  <c r="C219" i="66"/>
  <c r="C218" i="66"/>
  <c r="C217" i="66"/>
  <c r="C216" i="66"/>
  <c r="C215" i="66"/>
  <c r="C214" i="66"/>
  <c r="C213" i="66"/>
  <c r="C212" i="66"/>
  <c r="C211" i="66"/>
  <c r="C210" i="66"/>
  <c r="C209" i="66"/>
  <c r="C208" i="66"/>
  <c r="C207" i="66"/>
  <c r="C206" i="66"/>
  <c r="C205" i="66"/>
  <c r="C204" i="66"/>
  <c r="C203" i="66"/>
  <c r="C202" i="66"/>
  <c r="C201" i="66"/>
  <c r="C200" i="66"/>
  <c r="C199" i="66"/>
  <c r="C198" i="66"/>
  <c r="C197" i="66"/>
  <c r="C196" i="66"/>
  <c r="C195" i="66"/>
  <c r="C194" i="66"/>
  <c r="C193" i="66"/>
  <c r="C192" i="66"/>
  <c r="C191" i="66"/>
  <c r="C190" i="66"/>
  <c r="C189" i="66"/>
  <c r="C188" i="66"/>
  <c r="C187" i="66"/>
  <c r="C186" i="66"/>
  <c r="C185" i="66"/>
  <c r="C184" i="66"/>
  <c r="C183" i="66"/>
  <c r="C182" i="66"/>
  <c r="C181" i="66"/>
  <c r="C180" i="66"/>
  <c r="C179" i="66"/>
  <c r="C178" i="66"/>
  <c r="C177" i="66"/>
  <c r="C176" i="66"/>
  <c r="C175" i="66"/>
  <c r="C174" i="66"/>
  <c r="C173" i="66"/>
  <c r="C172" i="66"/>
  <c r="C171" i="66"/>
  <c r="C170" i="66"/>
  <c r="C169" i="66"/>
  <c r="C168" i="66"/>
  <c r="C167" i="66"/>
  <c r="C166" i="66"/>
  <c r="C165" i="66"/>
  <c r="C164" i="66"/>
  <c r="C163" i="66"/>
  <c r="C162" i="66"/>
  <c r="C161" i="66"/>
  <c r="C160" i="66"/>
  <c r="C159" i="66"/>
  <c r="C158" i="66"/>
  <c r="C157" i="66"/>
  <c r="C156" i="66"/>
  <c r="C155" i="66"/>
  <c r="C154" i="66"/>
  <c r="C153" i="66"/>
  <c r="C152" i="66"/>
  <c r="C151" i="66"/>
  <c r="C150" i="66"/>
  <c r="C149" i="66"/>
  <c r="C148" i="66"/>
  <c r="C147" i="66"/>
  <c r="C146" i="66"/>
  <c r="C145" i="66"/>
  <c r="C144" i="66"/>
  <c r="C143" i="66"/>
  <c r="C142" i="66"/>
  <c r="C141" i="66"/>
  <c r="C140" i="66"/>
  <c r="C139" i="66"/>
  <c r="C138" i="66"/>
  <c r="C137" i="66"/>
  <c r="C136" i="66"/>
  <c r="C135" i="66"/>
  <c r="C134" i="66"/>
  <c r="C133" i="66"/>
  <c r="C132" i="66"/>
  <c r="C131" i="66"/>
  <c r="C130" i="66"/>
  <c r="C129" i="66"/>
  <c r="C128" i="66"/>
  <c r="C127" i="66"/>
  <c r="C126" i="66"/>
  <c r="C125" i="66"/>
  <c r="C124" i="66"/>
  <c r="C123" i="66"/>
  <c r="C122" i="66"/>
  <c r="C121" i="66"/>
  <c r="C120" i="66"/>
  <c r="C119" i="66"/>
  <c r="C118" i="66"/>
  <c r="C117" i="66"/>
  <c r="C116" i="66"/>
  <c r="C115" i="66"/>
  <c r="C114" i="66"/>
  <c r="C113" i="66"/>
  <c r="C112" i="66"/>
  <c r="C111" i="66"/>
  <c r="C110" i="66"/>
  <c r="C109" i="66"/>
  <c r="C108" i="66"/>
  <c r="C107" i="66"/>
  <c r="C106" i="66"/>
  <c r="C105" i="66"/>
  <c r="C104" i="66"/>
  <c r="C103" i="66"/>
  <c r="C102" i="66"/>
  <c r="C101" i="66"/>
  <c r="C100" i="66"/>
  <c r="C99" i="66"/>
  <c r="C98" i="66"/>
  <c r="C97" i="66"/>
  <c r="C96" i="66"/>
  <c r="C95" i="66"/>
  <c r="C94" i="66"/>
  <c r="C93" i="66"/>
  <c r="C92" i="66"/>
  <c r="C91" i="66"/>
  <c r="C90" i="66"/>
  <c r="C89" i="66"/>
  <c r="C88" i="66"/>
  <c r="C87" i="66"/>
  <c r="C86" i="66"/>
  <c r="C85" i="66"/>
  <c r="C84" i="66"/>
  <c r="C83" i="66"/>
  <c r="C82" i="66"/>
  <c r="C81" i="66"/>
  <c r="C80" i="66"/>
  <c r="C79" i="66"/>
  <c r="C78" i="66"/>
  <c r="C77" i="66"/>
  <c r="C76" i="66"/>
  <c r="C75" i="66"/>
  <c r="C74" i="66"/>
  <c r="C73" i="66"/>
  <c r="C72" i="66"/>
  <c r="C71" i="66"/>
  <c r="C70" i="66"/>
  <c r="C69" i="66"/>
  <c r="C68" i="66"/>
  <c r="C67" i="66"/>
  <c r="C66" i="66"/>
  <c r="C65" i="66"/>
  <c r="C64" i="66"/>
  <c r="C63" i="66"/>
  <c r="C62" i="66"/>
  <c r="C61" i="66"/>
  <c r="C60" i="66"/>
  <c r="C59" i="66"/>
  <c r="C58" i="66"/>
  <c r="C57" i="66"/>
  <c r="C56" i="66"/>
  <c r="C55" i="66"/>
  <c r="C54" i="66"/>
  <c r="C53" i="66"/>
  <c r="C52" i="66"/>
  <c r="C51" i="66"/>
  <c r="C50" i="66"/>
  <c r="C49" i="66"/>
  <c r="C48" i="66"/>
  <c r="C47" i="66"/>
  <c r="C46" i="66"/>
  <c r="C45" i="66"/>
  <c r="C44" i="66"/>
  <c r="C43" i="66"/>
  <c r="C42" i="66"/>
  <c r="C41" i="66"/>
  <c r="C40" i="66"/>
  <c r="C39" i="66"/>
  <c r="C38" i="66"/>
  <c r="C37" i="66"/>
  <c r="C36" i="66"/>
  <c r="C35" i="66"/>
  <c r="C34" i="66"/>
  <c r="C33" i="66"/>
  <c r="C32" i="66"/>
  <c r="C31" i="66"/>
  <c r="C30" i="66"/>
  <c r="C29" i="66"/>
  <c r="C28" i="66"/>
  <c r="C27" i="66"/>
  <c r="C26" i="66"/>
  <c r="C25" i="66"/>
  <c r="C24" i="66"/>
  <c r="C23" i="66"/>
  <c r="C22" i="66"/>
  <c r="C21" i="66"/>
  <c r="C20" i="66"/>
  <c r="C19" i="66"/>
  <c r="C18" i="66"/>
  <c r="C513" i="66"/>
  <c r="C512" i="66"/>
  <c r="C511" i="66"/>
  <c r="C510" i="66"/>
  <c r="C509" i="66"/>
  <c r="C17" i="66"/>
  <c r="C16" i="66"/>
  <c r="C15" i="66"/>
  <c r="C14" i="66"/>
  <c r="C13" i="66"/>
  <c r="C12" i="66"/>
  <c r="C11" i="66"/>
  <c r="C10" i="66"/>
  <c r="C9" i="66"/>
  <c r="C8" i="66"/>
  <c r="T5" i="66"/>
  <c r="S5" i="66"/>
  <c r="R5" i="66"/>
  <c r="Q5" i="66"/>
  <c r="P5" i="66"/>
  <c r="O5" i="66"/>
  <c r="T4" i="66"/>
  <c r="S4" i="66"/>
  <c r="R4" i="66"/>
  <c r="Q4" i="66"/>
  <c r="P4" i="66"/>
  <c r="O4" i="66"/>
  <c r="H26" i="54"/>
  <c r="G26" i="54"/>
  <c r="F26" i="54"/>
  <c r="C67" i="65"/>
  <c r="C60" i="65"/>
  <c r="C59" i="65"/>
  <c r="C58" i="65"/>
  <c r="C57" i="65"/>
  <c r="C56" i="65"/>
  <c r="C55" i="65"/>
  <c r="C54" i="65"/>
  <c r="C53" i="65"/>
  <c r="C52" i="65"/>
  <c r="C51" i="65"/>
  <c r="C50" i="65"/>
  <c r="C49" i="65"/>
  <c r="C48" i="65"/>
  <c r="C47" i="65"/>
  <c r="C46" i="65"/>
  <c r="C45" i="65"/>
  <c r="C44" i="65"/>
  <c r="C43" i="65"/>
  <c r="C42" i="65"/>
  <c r="C41" i="65"/>
  <c r="C40" i="65"/>
  <c r="C39" i="65"/>
  <c r="C38" i="65"/>
  <c r="C37" i="65"/>
  <c r="C36" i="65"/>
  <c r="C35" i="65"/>
  <c r="C34" i="65"/>
  <c r="C33" i="65"/>
  <c r="C32" i="65"/>
  <c r="C31" i="65"/>
  <c r="C30" i="65"/>
  <c r="C29" i="65"/>
  <c r="C28" i="65"/>
  <c r="C27" i="65"/>
  <c r="C26" i="65"/>
  <c r="C25" i="65"/>
  <c r="C24" i="65"/>
  <c r="C23" i="65"/>
  <c r="C22" i="65"/>
  <c r="C21" i="65"/>
  <c r="C20" i="65"/>
  <c r="C19" i="65"/>
  <c r="C18" i="65"/>
  <c r="C17" i="65"/>
  <c r="C16" i="65"/>
  <c r="C15" i="65"/>
  <c r="C14" i="65"/>
  <c r="C13" i="65"/>
  <c r="C12" i="65"/>
  <c r="C11" i="65"/>
  <c r="C10" i="65"/>
  <c r="C9" i="65"/>
  <c r="C8" i="65"/>
  <c r="E3" i="65" s="1"/>
  <c r="T5" i="65"/>
  <c r="S5" i="65"/>
  <c r="R5" i="65"/>
  <c r="Q5" i="65"/>
  <c r="P5" i="65"/>
  <c r="O5" i="65"/>
  <c r="T4" i="65"/>
  <c r="S4" i="65"/>
  <c r="R4" i="65"/>
  <c r="Q4" i="65"/>
  <c r="P4" i="65"/>
  <c r="O4" i="65"/>
  <c r="L4" i="59"/>
  <c r="F24" i="54"/>
  <c r="H23" i="54"/>
  <c r="G23" i="54"/>
  <c r="F23" i="54"/>
  <c r="L268" i="59"/>
  <c r="K268" i="59"/>
  <c r="J268" i="59"/>
  <c r="I268" i="59"/>
  <c r="H268" i="59"/>
  <c r="G268" i="59"/>
  <c r="F268" i="59"/>
  <c r="L267" i="59"/>
  <c r="K267" i="59"/>
  <c r="J267" i="59"/>
  <c r="I267" i="59"/>
  <c r="H267" i="59"/>
  <c r="G267" i="59"/>
  <c r="F267" i="59"/>
  <c r="L266" i="59"/>
  <c r="K266" i="59"/>
  <c r="J266" i="59"/>
  <c r="I266" i="59"/>
  <c r="H266" i="59"/>
  <c r="G266" i="59"/>
  <c r="F266" i="59"/>
  <c r="L265" i="59"/>
  <c r="K265" i="59"/>
  <c r="J265" i="59"/>
  <c r="I265" i="59"/>
  <c r="H265" i="59"/>
  <c r="G265" i="59"/>
  <c r="F265" i="59"/>
  <c r="L264" i="59"/>
  <c r="K264" i="59"/>
  <c r="J264" i="59"/>
  <c r="I264" i="59"/>
  <c r="H264" i="59"/>
  <c r="G264" i="59"/>
  <c r="F264" i="59"/>
  <c r="L263" i="59"/>
  <c r="K263" i="59"/>
  <c r="J263" i="59"/>
  <c r="I263" i="59"/>
  <c r="H263" i="59"/>
  <c r="G263" i="59"/>
  <c r="F263" i="59"/>
  <c r="L262" i="59"/>
  <c r="K262" i="59"/>
  <c r="J262" i="59"/>
  <c r="I262" i="59"/>
  <c r="H262" i="59"/>
  <c r="G262" i="59"/>
  <c r="F262" i="59"/>
  <c r="J249" i="60"/>
  <c r="F19" i="54"/>
  <c r="H18" i="54"/>
  <c r="G18" i="54"/>
  <c r="F18" i="54"/>
  <c r="H17" i="54"/>
  <c r="G17" i="54"/>
  <c r="L285" i="60"/>
  <c r="K285" i="60"/>
  <c r="J285" i="60"/>
  <c r="I285" i="60"/>
  <c r="F285" i="60"/>
  <c r="L284" i="60"/>
  <c r="K284" i="60"/>
  <c r="J284" i="60"/>
  <c r="I284" i="60"/>
  <c r="F284" i="60"/>
  <c r="L283" i="60"/>
  <c r="K283" i="60"/>
  <c r="J283" i="60"/>
  <c r="I283" i="60"/>
  <c r="F283" i="60"/>
  <c r="L275" i="60"/>
  <c r="L276" i="60"/>
  <c r="L277" i="60"/>
  <c r="K277" i="60"/>
  <c r="K276" i="60"/>
  <c r="K275" i="60"/>
  <c r="J277" i="60"/>
  <c r="J276" i="60"/>
  <c r="J275" i="60"/>
  <c r="I277" i="60"/>
  <c r="I276" i="60"/>
  <c r="I275" i="60"/>
  <c r="F277" i="60"/>
  <c r="F276" i="60"/>
  <c r="F275" i="60"/>
  <c r="K271" i="60"/>
  <c r="L271" i="60"/>
  <c r="K272" i="60"/>
  <c r="L272" i="60"/>
  <c r="K273" i="60"/>
  <c r="L273" i="60"/>
  <c r="K274" i="60"/>
  <c r="L274" i="60"/>
  <c r="J274" i="60"/>
  <c r="J272" i="60"/>
  <c r="J271" i="60"/>
  <c r="I274" i="60"/>
  <c r="I272" i="60"/>
  <c r="I271" i="60"/>
  <c r="F274" i="60"/>
  <c r="F273" i="60"/>
  <c r="F272" i="60"/>
  <c r="F271" i="60"/>
  <c r="K270" i="60"/>
  <c r="L270" i="60"/>
  <c r="J270" i="60"/>
  <c r="I270" i="60"/>
  <c r="F270" i="60"/>
  <c r="L269" i="60"/>
  <c r="K269" i="60"/>
  <c r="F269" i="60"/>
  <c r="L364" i="64"/>
  <c r="K364" i="64"/>
  <c r="J364" i="64"/>
  <c r="I364" i="64"/>
  <c r="H364" i="64"/>
  <c r="G364" i="64"/>
  <c r="F364" i="64"/>
  <c r="L363" i="64"/>
  <c r="K363" i="64"/>
  <c r="J363" i="64"/>
  <c r="I363" i="64"/>
  <c r="H363" i="64"/>
  <c r="G363" i="64"/>
  <c r="F363" i="64"/>
  <c r="L362" i="64"/>
  <c r="K362" i="64"/>
  <c r="J362" i="64"/>
  <c r="I362" i="64"/>
  <c r="H362" i="64"/>
  <c r="G362" i="64"/>
  <c r="F362" i="64"/>
  <c r="L361" i="64"/>
  <c r="K361" i="64"/>
  <c r="J361" i="64"/>
  <c r="I361" i="64"/>
  <c r="H361" i="64"/>
  <c r="G361" i="64"/>
  <c r="F361" i="64"/>
  <c r="L360" i="64"/>
  <c r="K360" i="64"/>
  <c r="J360" i="64"/>
  <c r="I360" i="64"/>
  <c r="H360" i="64"/>
  <c r="G360" i="64"/>
  <c r="F360" i="64"/>
  <c r="L359" i="64"/>
  <c r="K359" i="64"/>
  <c r="J359" i="64"/>
  <c r="I359" i="64"/>
  <c r="H359" i="64"/>
  <c r="G359" i="64"/>
  <c r="F359" i="64"/>
  <c r="L357" i="64"/>
  <c r="K357" i="64"/>
  <c r="J357" i="64"/>
  <c r="I357" i="64"/>
  <c r="H357" i="64"/>
  <c r="G357" i="64"/>
  <c r="F357" i="64"/>
  <c r="L356" i="64"/>
  <c r="K356" i="64"/>
  <c r="J356" i="64"/>
  <c r="I356" i="64"/>
  <c r="H356" i="64"/>
  <c r="G356" i="64"/>
  <c r="F356" i="64"/>
  <c r="L355" i="64"/>
  <c r="K355" i="64"/>
  <c r="J355" i="64"/>
  <c r="I355" i="64"/>
  <c r="H355" i="64"/>
  <c r="G355" i="64"/>
  <c r="F355" i="64"/>
  <c r="L354" i="64"/>
  <c r="K354" i="64"/>
  <c r="J354" i="64"/>
  <c r="I354" i="64"/>
  <c r="H354" i="64"/>
  <c r="G354" i="64"/>
  <c r="F354" i="64"/>
  <c r="T5" i="64"/>
  <c r="S5" i="64"/>
  <c r="Q5" i="64"/>
  <c r="P5" i="64"/>
  <c r="O5" i="64"/>
  <c r="T4" i="64"/>
  <c r="S4" i="64"/>
  <c r="R4" i="64"/>
  <c r="Q4" i="64"/>
  <c r="P4" i="64"/>
  <c r="O4" i="64"/>
  <c r="H20" i="54"/>
  <c r="G20" i="54"/>
  <c r="F20" i="54"/>
  <c r="C368" i="64"/>
  <c r="C365" i="64"/>
  <c r="C354" i="64"/>
  <c r="C353" i="64"/>
  <c r="C351" i="64"/>
  <c r="C350" i="64"/>
  <c r="C349" i="64"/>
  <c r="C348" i="64"/>
  <c r="C347" i="64"/>
  <c r="C346" i="64"/>
  <c r="C345" i="64"/>
  <c r="C344" i="64"/>
  <c r="C343" i="64"/>
  <c r="C342" i="64"/>
  <c r="C341" i="64"/>
  <c r="C340" i="64"/>
  <c r="C339" i="64"/>
  <c r="C324" i="64"/>
  <c r="C323" i="64"/>
  <c r="C322" i="64"/>
  <c r="C321" i="64"/>
  <c r="C320" i="64"/>
  <c r="C319" i="64"/>
  <c r="C318" i="64"/>
  <c r="C317" i="64"/>
  <c r="C316" i="64"/>
  <c r="C315" i="64"/>
  <c r="C314" i="64"/>
  <c r="C313" i="64"/>
  <c r="C312" i="64"/>
  <c r="C311" i="64"/>
  <c r="C234" i="64"/>
  <c r="C233" i="64"/>
  <c r="C232" i="64"/>
  <c r="C231" i="64"/>
  <c r="L230" i="64"/>
  <c r="K230" i="64"/>
  <c r="J230" i="64"/>
  <c r="I230" i="64"/>
  <c r="H230" i="64"/>
  <c r="G230" i="64"/>
  <c r="F230" i="64"/>
  <c r="C230" i="64"/>
  <c r="C229" i="64"/>
  <c r="C228" i="64"/>
  <c r="C227" i="64"/>
  <c r="C226" i="64"/>
  <c r="C225" i="64"/>
  <c r="C224" i="64"/>
  <c r="C223" i="64"/>
  <c r="C222" i="64"/>
  <c r="C221" i="64"/>
  <c r="C220" i="64"/>
  <c r="C219" i="64"/>
  <c r="C218" i="64"/>
  <c r="C217" i="64"/>
  <c r="C216" i="64"/>
  <c r="C215" i="64"/>
  <c r="C214" i="64"/>
  <c r="L213" i="64"/>
  <c r="K213" i="64"/>
  <c r="J213" i="64"/>
  <c r="I213" i="64"/>
  <c r="H213" i="64"/>
  <c r="G213" i="64"/>
  <c r="F213" i="64"/>
  <c r="C213" i="64"/>
  <c r="C212" i="64"/>
  <c r="C211" i="64"/>
  <c r="C210" i="64"/>
  <c r="C209" i="64"/>
  <c r="C208" i="64"/>
  <c r="C207" i="64"/>
  <c r="C206" i="64"/>
  <c r="L205" i="64"/>
  <c r="K205" i="64"/>
  <c r="J205" i="64"/>
  <c r="I205" i="64"/>
  <c r="H205" i="64"/>
  <c r="G205" i="64"/>
  <c r="F205" i="64"/>
  <c r="C205" i="64"/>
  <c r="C204" i="64"/>
  <c r="C203" i="64"/>
  <c r="C202" i="64"/>
  <c r="C201" i="64"/>
  <c r="C200" i="64"/>
  <c r="C199" i="64"/>
  <c r="C198" i="64"/>
  <c r="C197" i="64"/>
  <c r="C196" i="64"/>
  <c r="C195" i="64"/>
  <c r="L194" i="64"/>
  <c r="K194" i="64"/>
  <c r="J194" i="64"/>
  <c r="I194" i="64"/>
  <c r="H194" i="64"/>
  <c r="G194" i="64"/>
  <c r="F194" i="64"/>
  <c r="C194" i="64"/>
  <c r="C193" i="64"/>
  <c r="C192" i="64"/>
  <c r="C191" i="64"/>
  <c r="C190" i="64"/>
  <c r="C189" i="64"/>
  <c r="C188" i="64"/>
  <c r="C187" i="64"/>
  <c r="C186" i="64"/>
  <c r="C185" i="64"/>
  <c r="L184" i="64"/>
  <c r="K184" i="64"/>
  <c r="J184" i="64"/>
  <c r="I184" i="64"/>
  <c r="H184" i="64"/>
  <c r="G184" i="64"/>
  <c r="F184" i="64"/>
  <c r="C184" i="64"/>
  <c r="C183" i="64"/>
  <c r="C182" i="64"/>
  <c r="C181" i="64"/>
  <c r="C180" i="64"/>
  <c r="C179" i="64"/>
  <c r="C178" i="64"/>
  <c r="C177" i="64"/>
  <c r="C176" i="64"/>
  <c r="C175" i="64"/>
  <c r="C169" i="64"/>
  <c r="C168" i="64"/>
  <c r="C167" i="64"/>
  <c r="C166" i="64"/>
  <c r="C165" i="64"/>
  <c r="L164" i="64"/>
  <c r="K164" i="64"/>
  <c r="J164" i="64"/>
  <c r="I164" i="64"/>
  <c r="H164" i="64"/>
  <c r="G164" i="64"/>
  <c r="F164" i="64"/>
  <c r="C164" i="64"/>
  <c r="C163" i="64"/>
  <c r="C162" i="64"/>
  <c r="C161" i="64"/>
  <c r="C160" i="64"/>
  <c r="C159" i="64"/>
  <c r="C158" i="64"/>
  <c r="C157" i="64"/>
  <c r="C155" i="64"/>
  <c r="C154" i="64"/>
  <c r="C153" i="64"/>
  <c r="C152" i="64"/>
  <c r="C151" i="64"/>
  <c r="C150" i="64"/>
  <c r="C149" i="64"/>
  <c r="C148" i="64"/>
  <c r="C147" i="64"/>
  <c r="C145" i="64"/>
  <c r="C144" i="64"/>
  <c r="C143" i="64"/>
  <c r="C142" i="64"/>
  <c r="C141" i="64"/>
  <c r="C140" i="64"/>
  <c r="C139" i="64"/>
  <c r="C138" i="64"/>
  <c r="C137" i="64"/>
  <c r="C136" i="64"/>
  <c r="C134" i="64"/>
  <c r="C133" i="64"/>
  <c r="C132" i="64"/>
  <c r="C131" i="64"/>
  <c r="C130" i="64"/>
  <c r="C129" i="64"/>
  <c r="C128" i="64"/>
  <c r="C119" i="64"/>
  <c r="C118" i="64"/>
  <c r="C117" i="64"/>
  <c r="C116" i="64"/>
  <c r="C114" i="64"/>
  <c r="C113" i="64"/>
  <c r="C112" i="64"/>
  <c r="C111" i="64"/>
  <c r="C110" i="64"/>
  <c r="C109" i="64"/>
  <c r="C108" i="64"/>
  <c r="C107" i="64"/>
  <c r="C106" i="64"/>
  <c r="C105" i="64"/>
  <c r="C104" i="64"/>
  <c r="C103" i="64"/>
  <c r="C102" i="64"/>
  <c r="C101" i="64"/>
  <c r="C100" i="64"/>
  <c r="C99" i="64"/>
  <c r="C98" i="64"/>
  <c r="C97" i="64"/>
  <c r="C96" i="64"/>
  <c r="C95" i="64"/>
  <c r="C94" i="64"/>
  <c r="C93" i="64"/>
  <c r="C92" i="64"/>
  <c r="C91" i="64"/>
  <c r="C90" i="64"/>
  <c r="C89" i="64"/>
  <c r="C88" i="64"/>
  <c r="C86" i="64"/>
  <c r="C84" i="64"/>
  <c r="C83" i="64"/>
  <c r="C82" i="64"/>
  <c r="C81" i="64"/>
  <c r="C78" i="64"/>
  <c r="C77" i="64"/>
  <c r="C76" i="64"/>
  <c r="C75" i="64"/>
  <c r="C74" i="64"/>
  <c r="C73" i="64"/>
  <c r="C72" i="64"/>
  <c r="C71" i="64"/>
  <c r="C70" i="64"/>
  <c r="C69" i="64"/>
  <c r="C68" i="64"/>
  <c r="C67" i="64"/>
  <c r="C66" i="64"/>
  <c r="C65" i="64"/>
  <c r="C64" i="64"/>
  <c r="C63" i="64"/>
  <c r="C62" i="64"/>
  <c r="C61" i="64"/>
  <c r="C60" i="64"/>
  <c r="C57" i="64"/>
  <c r="C56" i="64"/>
  <c r="C55" i="64"/>
  <c r="C54" i="64"/>
  <c r="C53" i="64"/>
  <c r="C52" i="64"/>
  <c r="C51" i="64"/>
  <c r="C50" i="64"/>
  <c r="C49" i="64"/>
  <c r="C48" i="64"/>
  <c r="C47" i="64"/>
  <c r="C46" i="64"/>
  <c r="C45" i="64"/>
  <c r="C44" i="64"/>
  <c r="C43" i="64"/>
  <c r="C42" i="64"/>
  <c r="C41" i="64"/>
  <c r="C40" i="64"/>
  <c r="C39" i="64"/>
  <c r="C37" i="64"/>
  <c r="C36" i="64"/>
  <c r="C35" i="64"/>
  <c r="C34" i="64"/>
  <c r="C33" i="64"/>
  <c r="C32" i="64"/>
  <c r="C31" i="64"/>
  <c r="C30" i="64"/>
  <c r="C29" i="64"/>
  <c r="C28" i="64"/>
  <c r="C27" i="64"/>
  <c r="C26" i="64"/>
  <c r="C25" i="64"/>
  <c r="C24" i="64"/>
  <c r="C23" i="64"/>
  <c r="C22" i="64"/>
  <c r="C21" i="64"/>
  <c r="C20" i="64"/>
  <c r="C19" i="64"/>
  <c r="C18" i="64"/>
  <c r="C17" i="64"/>
  <c r="C16" i="64"/>
  <c r="C15" i="64"/>
  <c r="C14" i="64"/>
  <c r="C13" i="64"/>
  <c r="C12" i="64"/>
  <c r="C11" i="64"/>
  <c r="C10" i="64"/>
  <c r="C9" i="64"/>
  <c r="C8" i="64"/>
  <c r="E3" i="64" s="1"/>
  <c r="F101" i="60"/>
  <c r="F98" i="60" s="1"/>
  <c r="L101" i="60"/>
  <c r="K101" i="60"/>
  <c r="J101" i="60"/>
  <c r="I101" i="60"/>
  <c r="H101" i="60"/>
  <c r="H98" i="60" s="1"/>
  <c r="G101" i="60"/>
  <c r="G98" i="60" s="1"/>
  <c r="L100" i="60"/>
  <c r="K100" i="60"/>
  <c r="J100" i="60"/>
  <c r="I100" i="60"/>
  <c r="L99" i="60"/>
  <c r="L98" i="60" s="1"/>
  <c r="K99" i="60"/>
  <c r="J99" i="60"/>
  <c r="I99" i="60"/>
  <c r="L78" i="60"/>
  <c r="K78" i="60"/>
  <c r="J78" i="60"/>
  <c r="I78" i="60"/>
  <c r="H78" i="60"/>
  <c r="G78" i="60"/>
  <c r="F17" i="54"/>
  <c r="C280" i="60"/>
  <c r="C279" i="60"/>
  <c r="C275" i="60"/>
  <c r="C269" i="60"/>
  <c r="C268" i="60"/>
  <c r="C267" i="60"/>
  <c r="C266" i="60"/>
  <c r="C265" i="60"/>
  <c r="C264" i="60"/>
  <c r="C263" i="60"/>
  <c r="C262" i="60"/>
  <c r="C261" i="60"/>
  <c r="C260" i="60"/>
  <c r="C259" i="60"/>
  <c r="C258" i="60"/>
  <c r="C257" i="60"/>
  <c r="C242" i="60"/>
  <c r="C241" i="60"/>
  <c r="C240" i="60"/>
  <c r="C239" i="60"/>
  <c r="C238" i="60"/>
  <c r="C237" i="60"/>
  <c r="C236" i="60"/>
  <c r="C235" i="60"/>
  <c r="C234" i="60"/>
  <c r="C233" i="60"/>
  <c r="C232" i="60"/>
  <c r="C231" i="60"/>
  <c r="C230" i="60"/>
  <c r="C229" i="60"/>
  <c r="C228" i="60"/>
  <c r="C227" i="60"/>
  <c r="C226" i="60"/>
  <c r="C225" i="60"/>
  <c r="C224" i="60"/>
  <c r="C223" i="60"/>
  <c r="C222" i="60"/>
  <c r="C221" i="60"/>
  <c r="C212" i="60"/>
  <c r="C211" i="60"/>
  <c r="C210" i="60"/>
  <c r="C209" i="60"/>
  <c r="C208" i="60"/>
  <c r="C207" i="60"/>
  <c r="C206" i="60"/>
  <c r="C205" i="60"/>
  <c r="C204" i="60"/>
  <c r="C201" i="60"/>
  <c r="C200" i="60"/>
  <c r="C199" i="60"/>
  <c r="C167" i="60"/>
  <c r="C166" i="60"/>
  <c r="C165" i="60"/>
  <c r="C164" i="60"/>
  <c r="C163" i="60"/>
  <c r="C162" i="60"/>
  <c r="C161" i="60"/>
  <c r="C160" i="60"/>
  <c r="C159" i="60"/>
  <c r="C158" i="60"/>
  <c r="C157" i="60"/>
  <c r="C156" i="60"/>
  <c r="C155" i="60"/>
  <c r="C154" i="60"/>
  <c r="C153" i="60"/>
  <c r="C152" i="60"/>
  <c r="C122" i="60"/>
  <c r="C120" i="60"/>
  <c r="C119" i="60"/>
  <c r="C118" i="60"/>
  <c r="C117" i="60"/>
  <c r="C116" i="60"/>
  <c r="C115" i="60"/>
  <c r="C114" i="60"/>
  <c r="C106" i="60"/>
  <c r="C105" i="60"/>
  <c r="C104" i="60"/>
  <c r="C103" i="60"/>
  <c r="C102" i="60"/>
  <c r="C101" i="60"/>
  <c r="C100" i="60"/>
  <c r="C99" i="60"/>
  <c r="C98" i="60"/>
  <c r="C97" i="60"/>
  <c r="C96" i="60"/>
  <c r="C95" i="60"/>
  <c r="C94" i="60"/>
  <c r="C93" i="60"/>
  <c r="C92" i="60"/>
  <c r="C91" i="60"/>
  <c r="C90" i="60"/>
  <c r="C89" i="60"/>
  <c r="C88" i="60"/>
  <c r="C87" i="60"/>
  <c r="C86" i="60"/>
  <c r="C85" i="60"/>
  <c r="C84" i="60"/>
  <c r="C83" i="60"/>
  <c r="C82" i="60"/>
  <c r="C81" i="60"/>
  <c r="C80" i="60"/>
  <c r="C79" i="60"/>
  <c r="C78" i="60"/>
  <c r="C77" i="60"/>
  <c r="C76" i="60"/>
  <c r="C75" i="60"/>
  <c r="C74" i="60"/>
  <c r="C73" i="60"/>
  <c r="C72" i="60"/>
  <c r="C71" i="60"/>
  <c r="C70" i="60"/>
  <c r="C69" i="60"/>
  <c r="C68" i="60"/>
  <c r="C66" i="60"/>
  <c r="C65" i="60"/>
  <c r="C64" i="60"/>
  <c r="C63" i="60"/>
  <c r="C62" i="60"/>
  <c r="C61" i="60"/>
  <c r="C60" i="60"/>
  <c r="C59" i="60"/>
  <c r="C58" i="60"/>
  <c r="C57" i="60"/>
  <c r="C56" i="60"/>
  <c r="C55" i="60"/>
  <c r="C54" i="60"/>
  <c r="C53" i="60"/>
  <c r="C52" i="60"/>
  <c r="C51" i="60"/>
  <c r="C50" i="60"/>
  <c r="C49" i="60"/>
  <c r="C48" i="60"/>
  <c r="C47" i="60"/>
  <c r="C46" i="60"/>
  <c r="C45" i="60"/>
  <c r="C44" i="60"/>
  <c r="C43" i="60"/>
  <c r="C42" i="60"/>
  <c r="C41" i="60"/>
  <c r="C40" i="60"/>
  <c r="C39" i="60"/>
  <c r="C38" i="60"/>
  <c r="C37" i="60"/>
  <c r="C36" i="60"/>
  <c r="C35" i="60"/>
  <c r="C34" i="60"/>
  <c r="C33" i="60"/>
  <c r="C32" i="60"/>
  <c r="C31" i="60"/>
  <c r="C29" i="60"/>
  <c r="C28" i="60"/>
  <c r="C27" i="60"/>
  <c r="C26" i="60"/>
  <c r="C25" i="60"/>
  <c r="C24" i="60"/>
  <c r="C23" i="60"/>
  <c r="C22" i="60"/>
  <c r="C13" i="60"/>
  <c r="C12" i="60"/>
  <c r="C11" i="60"/>
  <c r="C10" i="60"/>
  <c r="C9" i="60"/>
  <c r="C8" i="60"/>
  <c r="E3" i="60" s="1"/>
  <c r="T5" i="60"/>
  <c r="S5" i="60"/>
  <c r="R5" i="60"/>
  <c r="Q5" i="60"/>
  <c r="P5" i="60"/>
  <c r="O5" i="60"/>
  <c r="T4" i="60"/>
  <c r="S4" i="60"/>
  <c r="R4" i="60"/>
  <c r="Q4" i="60"/>
  <c r="P4" i="60"/>
  <c r="O4" i="60"/>
  <c r="C272" i="59"/>
  <c r="C269" i="59"/>
  <c r="C268" i="59"/>
  <c r="C262" i="59"/>
  <c r="C88" i="59"/>
  <c r="C78" i="59"/>
  <c r="C77" i="59"/>
  <c r="C76" i="59"/>
  <c r="C75" i="59"/>
  <c r="C74" i="59"/>
  <c r="C73" i="59"/>
  <c r="C72" i="59"/>
  <c r="C71" i="59"/>
  <c r="C70" i="59"/>
  <c r="C69" i="59"/>
  <c r="C68" i="59"/>
  <c r="C67" i="59"/>
  <c r="C66" i="59"/>
  <c r="C65" i="59"/>
  <c r="C64" i="59"/>
  <c r="C61" i="59"/>
  <c r="C60" i="59"/>
  <c r="C59" i="59"/>
  <c r="C58" i="59"/>
  <c r="C57" i="59"/>
  <c r="C56" i="59"/>
  <c r="C55" i="59"/>
  <c r="C54" i="59"/>
  <c r="C53" i="59"/>
  <c r="C52" i="59"/>
  <c r="C51" i="59"/>
  <c r="C50" i="59"/>
  <c r="C49" i="59"/>
  <c r="C48" i="59"/>
  <c r="C47" i="59"/>
  <c r="C46" i="59"/>
  <c r="C45" i="59"/>
  <c r="C44" i="59"/>
  <c r="C43" i="59"/>
  <c r="C42" i="59"/>
  <c r="C41" i="59"/>
  <c r="C40" i="59"/>
  <c r="C39" i="59"/>
  <c r="C38" i="59"/>
  <c r="C37" i="59"/>
  <c r="C36" i="59"/>
  <c r="C35" i="59"/>
  <c r="C34" i="59"/>
  <c r="C33" i="59"/>
  <c r="C32" i="59"/>
  <c r="C31" i="59"/>
  <c r="C30" i="59"/>
  <c r="C29" i="59"/>
  <c r="C28" i="59"/>
  <c r="C27" i="59"/>
  <c r="C26" i="59"/>
  <c r="C25" i="59"/>
  <c r="C24" i="59"/>
  <c r="C23" i="59"/>
  <c r="C22" i="59"/>
  <c r="C21" i="59"/>
  <c r="C20" i="59"/>
  <c r="C19" i="59"/>
  <c r="C18" i="59"/>
  <c r="C17" i="59"/>
  <c r="C16" i="59"/>
  <c r="C15" i="59"/>
  <c r="C14" i="59"/>
  <c r="C13" i="59"/>
  <c r="C12" i="59"/>
  <c r="C11" i="59"/>
  <c r="C10" i="59"/>
  <c r="C9" i="59"/>
  <c r="C8" i="59"/>
  <c r="E3" i="59" s="1"/>
  <c r="T5" i="59"/>
  <c r="S5" i="59"/>
  <c r="R5" i="59"/>
  <c r="Q5" i="59"/>
  <c r="P5" i="59"/>
  <c r="O5" i="59"/>
  <c r="T4" i="59"/>
  <c r="S4" i="59"/>
  <c r="R4" i="59"/>
  <c r="Q4" i="59"/>
  <c r="P4" i="59"/>
  <c r="O4" i="59"/>
  <c r="K14" i="54"/>
  <c r="J14" i="54"/>
  <c r="F16" i="54"/>
  <c r="F53" i="54" s="1"/>
  <c r="H15" i="54"/>
  <c r="F52" i="54" s="1"/>
  <c r="G15" i="54"/>
  <c r="F51" i="54" s="1"/>
  <c r="F15" i="54"/>
  <c r="F50" i="54" s="1"/>
  <c r="H14" i="54"/>
  <c r="F49" i="54" s="1"/>
  <c r="G14" i="54"/>
  <c r="F48" i="54" s="1"/>
  <c r="F14" i="54"/>
  <c r="F47" i="54" s="1"/>
  <c r="T5" i="30"/>
  <c r="R5" i="30"/>
  <c r="S4" i="30"/>
  <c r="T4" i="30"/>
  <c r="R4" i="30"/>
  <c r="P5" i="30"/>
  <c r="Q5" i="30"/>
  <c r="O5" i="30"/>
  <c r="P4" i="30"/>
  <c r="Q4" i="30"/>
  <c r="O4" i="30"/>
  <c r="C11" i="30"/>
  <c r="C12" i="30"/>
  <c r="C13" i="30"/>
  <c r="C14" i="30"/>
  <c r="C15" i="30"/>
  <c r="C16" i="30"/>
  <c r="C17" i="30"/>
  <c r="C18" i="30"/>
  <c r="C19" i="30"/>
  <c r="C20" i="30"/>
  <c r="C21" i="30"/>
  <c r="C22" i="30"/>
  <c r="C23" i="30"/>
  <c r="C24" i="30"/>
  <c r="C25" i="30"/>
  <c r="C26" i="30"/>
  <c r="C27" i="30"/>
  <c r="C28" i="30"/>
  <c r="C29" i="30"/>
  <c r="C30" i="30"/>
  <c r="C31" i="30"/>
  <c r="C32" i="30"/>
  <c r="C33" i="30"/>
  <c r="C34" i="30"/>
  <c r="C35" i="30"/>
  <c r="C36" i="30"/>
  <c r="C37" i="30"/>
  <c r="C38" i="30"/>
  <c r="C39" i="30"/>
  <c r="C40" i="30"/>
  <c r="C41" i="30"/>
  <c r="C42" i="30"/>
  <c r="C43" i="30"/>
  <c r="C44" i="30"/>
  <c r="C45" i="30"/>
  <c r="C46" i="30"/>
  <c r="C47" i="30"/>
  <c r="C48" i="30"/>
  <c r="C49" i="30"/>
  <c r="C50" i="30"/>
  <c r="C51" i="30"/>
  <c r="C52" i="30"/>
  <c r="C53" i="30"/>
  <c r="C54" i="30"/>
  <c r="C55" i="30"/>
  <c r="C56" i="30"/>
  <c r="C57" i="30"/>
  <c r="C58" i="30"/>
  <c r="C59" i="30"/>
  <c r="C60" i="30"/>
  <c r="C61" i="30"/>
  <c r="C62" i="30"/>
  <c r="C63" i="30"/>
  <c r="C64" i="30"/>
  <c r="C65" i="30"/>
  <c r="C66" i="30"/>
  <c r="C67" i="30"/>
  <c r="C68" i="30"/>
  <c r="C69" i="30"/>
  <c r="C70" i="30"/>
  <c r="C71" i="30"/>
  <c r="C72" i="30"/>
  <c r="C73" i="30"/>
  <c r="C74" i="30"/>
  <c r="C75" i="30"/>
  <c r="C76" i="30"/>
  <c r="C77" i="30"/>
  <c r="C78" i="30"/>
  <c r="C79" i="30"/>
  <c r="C80" i="30"/>
  <c r="C81" i="30"/>
  <c r="C82" i="30"/>
  <c r="C83" i="30"/>
  <c r="C84" i="30"/>
  <c r="C85" i="30"/>
  <c r="C86" i="30"/>
  <c r="C87" i="30"/>
  <c r="C88" i="30"/>
  <c r="C89" i="30"/>
  <c r="C90" i="30"/>
  <c r="C91" i="30"/>
  <c r="C93" i="30"/>
  <c r="C94" i="30"/>
  <c r="C95" i="30"/>
  <c r="C96" i="30"/>
  <c r="C97" i="30"/>
  <c r="C98" i="30"/>
  <c r="C99" i="30"/>
  <c r="C100" i="30"/>
  <c r="C101" i="30"/>
  <c r="C102" i="30"/>
  <c r="C103" i="30"/>
  <c r="C104" i="30"/>
  <c r="C105" i="30"/>
  <c r="C106" i="30"/>
  <c r="C107" i="30"/>
  <c r="C108" i="30"/>
  <c r="C109" i="30"/>
  <c r="C110" i="30"/>
  <c r="C111" i="30"/>
  <c r="C112" i="30"/>
  <c r="C113" i="30"/>
  <c r="C114" i="30"/>
  <c r="C115" i="30"/>
  <c r="C116" i="30"/>
  <c r="C117" i="30"/>
  <c r="C118" i="30"/>
  <c r="C119" i="30"/>
  <c r="C120" i="30"/>
  <c r="C121" i="30"/>
  <c r="C122" i="30"/>
  <c r="C123" i="30"/>
  <c r="C124" i="30"/>
  <c r="C125" i="30"/>
  <c r="C126" i="30"/>
  <c r="C127" i="30"/>
  <c r="C128" i="30"/>
  <c r="C129" i="30"/>
  <c r="C130" i="30"/>
  <c r="C131" i="30"/>
  <c r="C132" i="30"/>
  <c r="C133" i="30"/>
  <c r="C134" i="30"/>
  <c r="C135" i="30"/>
  <c r="C136" i="30"/>
  <c r="C137" i="30"/>
  <c r="C138" i="30"/>
  <c r="C139" i="30"/>
  <c r="C140" i="30"/>
  <c r="C141" i="30"/>
  <c r="C142" i="30"/>
  <c r="C143" i="30"/>
  <c r="C144" i="30"/>
  <c r="C145" i="30"/>
  <c r="C146" i="30"/>
  <c r="C147" i="30"/>
  <c r="C148" i="30"/>
  <c r="C149" i="30"/>
  <c r="C150" i="30"/>
  <c r="C151" i="30"/>
  <c r="C152" i="30"/>
  <c r="C153" i="30"/>
  <c r="C154" i="30"/>
  <c r="C155" i="30"/>
  <c r="C156" i="30"/>
  <c r="C157" i="30"/>
  <c r="C158" i="30"/>
  <c r="C159" i="30"/>
  <c r="C160" i="30"/>
  <c r="C161" i="30"/>
  <c r="C162" i="30"/>
  <c r="C163" i="30"/>
  <c r="C164" i="30"/>
  <c r="C165" i="30"/>
  <c r="C166" i="30"/>
  <c r="C167" i="30"/>
  <c r="C168" i="30"/>
  <c r="C169" i="30"/>
  <c r="C170" i="30"/>
  <c r="C171" i="30"/>
  <c r="C172" i="30"/>
  <c r="C173" i="30"/>
  <c r="C174" i="30"/>
  <c r="C175" i="30"/>
  <c r="C176" i="30"/>
  <c r="C177" i="30"/>
  <c r="C178" i="30"/>
  <c r="C179" i="30"/>
  <c r="C180" i="30"/>
  <c r="C181" i="30"/>
  <c r="C182" i="30"/>
  <c r="C183" i="30"/>
  <c r="C184" i="30"/>
  <c r="C185" i="30"/>
  <c r="C186" i="30"/>
  <c r="C187" i="30"/>
  <c r="C188" i="30"/>
  <c r="C189" i="30"/>
  <c r="C190" i="30"/>
  <c r="C191" i="30"/>
  <c r="C192" i="30"/>
  <c r="C193" i="30"/>
  <c r="C194" i="30"/>
  <c r="C195" i="30"/>
  <c r="C196" i="30"/>
  <c r="C197" i="30"/>
  <c r="C198" i="30"/>
  <c r="C199" i="30"/>
  <c r="C200" i="30"/>
  <c r="C201" i="30"/>
  <c r="C202" i="30"/>
  <c r="C203" i="30"/>
  <c r="C204" i="30"/>
  <c r="C205" i="30"/>
  <c r="C206" i="30"/>
  <c r="C207" i="30"/>
  <c r="C208" i="30"/>
  <c r="C209" i="30"/>
  <c r="C210" i="30"/>
  <c r="C211" i="30"/>
  <c r="C212" i="30"/>
  <c r="C213" i="30"/>
  <c r="C214" i="30"/>
  <c r="C215" i="30"/>
  <c r="C216" i="30"/>
  <c r="C217" i="30"/>
  <c r="C218" i="30"/>
  <c r="C219" i="30"/>
  <c r="C220" i="30"/>
  <c r="C221" i="30"/>
  <c r="C222" i="30"/>
  <c r="C223" i="30"/>
  <c r="C224" i="30"/>
  <c r="C225" i="30"/>
  <c r="C226" i="30"/>
  <c r="C228" i="30"/>
  <c r="C229" i="30"/>
  <c r="C230" i="30"/>
  <c r="C231" i="30"/>
  <c r="C232" i="30"/>
  <c r="C233" i="30"/>
  <c r="C234" i="30"/>
  <c r="C235" i="30"/>
  <c r="C236" i="30"/>
  <c r="C237" i="30"/>
  <c r="C238" i="30"/>
  <c r="C239" i="30"/>
  <c r="C240" i="30"/>
  <c r="C241" i="30"/>
  <c r="C242" i="30"/>
  <c r="C243" i="30"/>
  <c r="C244" i="30"/>
  <c r="C245" i="30"/>
  <c r="C246" i="30"/>
  <c r="C247" i="30"/>
  <c r="C248" i="30"/>
  <c r="C249" i="30"/>
  <c r="C250" i="30"/>
  <c r="C251" i="30"/>
  <c r="C252" i="30"/>
  <c r="C253" i="30"/>
  <c r="C254" i="30"/>
  <c r="C255" i="30"/>
  <c r="C256" i="30"/>
  <c r="C257" i="30"/>
  <c r="C258" i="30"/>
  <c r="C259" i="30"/>
  <c r="C260" i="30"/>
  <c r="C261" i="30"/>
  <c r="C262" i="30"/>
  <c r="C263" i="30"/>
  <c r="C264" i="30"/>
  <c r="C265" i="30"/>
  <c r="C266" i="30"/>
  <c r="C267" i="30"/>
  <c r="C268" i="30"/>
  <c r="C269" i="30"/>
  <c r="C270" i="30"/>
  <c r="C271" i="30"/>
  <c r="C272" i="30"/>
  <c r="C273" i="30"/>
  <c r="C274" i="30"/>
  <c r="C275" i="30"/>
  <c r="C276" i="30"/>
  <c r="C277" i="30"/>
  <c r="C278" i="30"/>
  <c r="C279" i="30"/>
  <c r="C280" i="30"/>
  <c r="C281" i="30"/>
  <c r="C282" i="30"/>
  <c r="C283" i="30"/>
  <c r="C284" i="30"/>
  <c r="C285" i="30"/>
  <c r="C286" i="30"/>
  <c r="C287" i="30"/>
  <c r="C288" i="30"/>
  <c r="C289" i="30"/>
  <c r="C290" i="30"/>
  <c r="C291" i="30"/>
  <c r="C292" i="30"/>
  <c r="C293" i="30"/>
  <c r="C294" i="30"/>
  <c r="C295" i="30"/>
  <c r="C296" i="30"/>
  <c r="C297" i="30"/>
  <c r="C298" i="30"/>
  <c r="C299" i="30"/>
  <c r="C300" i="30"/>
  <c r="C301" i="30"/>
  <c r="C302" i="30"/>
  <c r="C303" i="30"/>
  <c r="C304" i="30"/>
  <c r="C305" i="30"/>
  <c r="C306" i="30"/>
  <c r="C307" i="30"/>
  <c r="C308" i="30"/>
  <c r="C309" i="30"/>
  <c r="C310" i="30"/>
  <c r="C311" i="30"/>
  <c r="C312" i="30"/>
  <c r="C313" i="30"/>
  <c r="C314" i="30"/>
  <c r="C315" i="30"/>
  <c r="C316" i="30"/>
  <c r="C317" i="30"/>
  <c r="C318" i="30"/>
  <c r="C319" i="30"/>
  <c r="C320" i="30"/>
  <c r="C321" i="30"/>
  <c r="C322" i="30"/>
  <c r="C323" i="30"/>
  <c r="C324" i="30"/>
  <c r="C325" i="30"/>
  <c r="C326" i="30"/>
  <c r="C327" i="30"/>
  <c r="C328" i="30"/>
  <c r="C329" i="30"/>
  <c r="C330" i="30"/>
  <c r="C331" i="30"/>
  <c r="C332" i="30"/>
  <c r="C333" i="30"/>
  <c r="C334" i="30"/>
  <c r="C335" i="30"/>
  <c r="C336" i="30"/>
  <c r="C337" i="30"/>
  <c r="C338" i="30"/>
  <c r="C339" i="30"/>
  <c r="C340" i="30"/>
  <c r="C341" i="30"/>
  <c r="C342" i="30"/>
  <c r="C343" i="30"/>
  <c r="C344" i="30"/>
  <c r="C345" i="30"/>
  <c r="C346" i="30"/>
  <c r="C347" i="30"/>
  <c r="C348" i="30"/>
  <c r="C349" i="30"/>
  <c r="C350" i="30"/>
  <c r="C351" i="30"/>
  <c r="C352" i="30"/>
  <c r="C353" i="30"/>
  <c r="C354" i="30"/>
  <c r="C355" i="30"/>
  <c r="C356" i="30"/>
  <c r="C357" i="30"/>
  <c r="C358" i="30"/>
  <c r="C359" i="30"/>
  <c r="C360" i="30"/>
  <c r="C361" i="30"/>
  <c r="C362" i="30"/>
  <c r="C363" i="30"/>
  <c r="C364" i="30"/>
  <c r="C365" i="30"/>
  <c r="C366" i="30"/>
  <c r="C367" i="30"/>
  <c r="C368" i="30"/>
  <c r="C369" i="30"/>
  <c r="C370" i="30"/>
  <c r="C371" i="30"/>
  <c r="C372" i="30"/>
  <c r="C373" i="30"/>
  <c r="C374" i="30"/>
  <c r="C375" i="30"/>
  <c r="C376" i="30"/>
  <c r="C377" i="30"/>
  <c r="C378" i="30"/>
  <c r="C379" i="30"/>
  <c r="C380" i="30"/>
  <c r="C381" i="30"/>
  <c r="C382" i="30"/>
  <c r="C383" i="30"/>
  <c r="C384" i="30"/>
  <c r="C385" i="30"/>
  <c r="C386" i="30"/>
  <c r="C387" i="30"/>
  <c r="C388" i="30"/>
  <c r="C389" i="30"/>
  <c r="C390" i="30"/>
  <c r="C391" i="30"/>
  <c r="C392" i="30"/>
  <c r="C393" i="30"/>
  <c r="C394" i="30"/>
  <c r="C395" i="30"/>
  <c r="C396" i="30"/>
  <c r="C397" i="30"/>
  <c r="C398" i="30"/>
  <c r="C399" i="30"/>
  <c r="C400" i="30"/>
  <c r="C401" i="30"/>
  <c r="C402" i="30"/>
  <c r="C403" i="30"/>
  <c r="C404" i="30"/>
  <c r="C405" i="30"/>
  <c r="C406" i="30"/>
  <c r="C407" i="30"/>
  <c r="C408" i="30"/>
  <c r="C409" i="30"/>
  <c r="C410" i="30"/>
  <c r="C411" i="30"/>
  <c r="C412" i="30"/>
  <c r="C413" i="30"/>
  <c r="C414" i="30"/>
  <c r="C415" i="30"/>
  <c r="C416" i="30"/>
  <c r="C417" i="30"/>
  <c r="C418" i="30"/>
  <c r="C419" i="30"/>
  <c r="C420" i="30"/>
  <c r="C421" i="30"/>
  <c r="C422" i="30"/>
  <c r="C423" i="30"/>
  <c r="C424" i="30"/>
  <c r="C425" i="30"/>
  <c r="C426" i="30"/>
  <c r="C427" i="30"/>
  <c r="C428" i="30"/>
  <c r="C429" i="30"/>
  <c r="C430" i="30"/>
  <c r="C431" i="30"/>
  <c r="C432" i="30"/>
  <c r="C433" i="30"/>
  <c r="C434" i="30"/>
  <c r="C435" i="30"/>
  <c r="C436" i="30"/>
  <c r="C437" i="30"/>
  <c r="C438" i="30"/>
  <c r="C439" i="30"/>
  <c r="C440" i="30"/>
  <c r="C441" i="30"/>
  <c r="C442" i="30"/>
  <c r="C443" i="30"/>
  <c r="C444" i="30"/>
  <c r="C445" i="30"/>
  <c r="C446" i="30"/>
  <c r="C447" i="30"/>
  <c r="C448" i="30"/>
  <c r="C449" i="30"/>
  <c r="C451" i="30"/>
  <c r="C452" i="30"/>
  <c r="C453" i="30"/>
  <c r="C454" i="30"/>
  <c r="C455" i="30"/>
  <c r="C456" i="30"/>
  <c r="C457" i="30"/>
  <c r="C458" i="30"/>
  <c r="C459" i="30"/>
  <c r="C460" i="30"/>
  <c r="C461" i="30"/>
  <c r="C462" i="30"/>
  <c r="C463" i="30"/>
  <c r="C464" i="30"/>
  <c r="C465" i="30"/>
  <c r="C469" i="30"/>
  <c r="C470" i="30"/>
  <c r="C473" i="30"/>
  <c r="C474" i="30"/>
  <c r="C475" i="30"/>
  <c r="C476" i="30"/>
  <c r="C477" i="30"/>
  <c r="C478" i="30"/>
  <c r="C479" i="30"/>
  <c r="C480" i="30"/>
  <c r="C481" i="30"/>
  <c r="C482" i="30"/>
  <c r="C483" i="30"/>
  <c r="C484" i="30"/>
  <c r="C485" i="30"/>
  <c r="C486" i="30"/>
  <c r="C487" i="30"/>
  <c r="C488" i="30"/>
  <c r="C489" i="30"/>
  <c r="C490" i="30"/>
  <c r="C491" i="30"/>
  <c r="C492" i="30"/>
  <c r="C493" i="30"/>
  <c r="C494" i="30"/>
  <c r="C495" i="30"/>
  <c r="C496" i="30"/>
  <c r="C497" i="30"/>
  <c r="C498" i="30"/>
  <c r="C499" i="30"/>
  <c r="C500" i="30"/>
  <c r="C501" i="30"/>
  <c r="C502" i="30"/>
  <c r="C503" i="30"/>
  <c r="C504" i="30"/>
  <c r="C505" i="30"/>
  <c r="C506" i="30"/>
  <c r="C507" i="30"/>
  <c r="C508" i="30"/>
  <c r="C509" i="30"/>
  <c r="C510" i="30"/>
  <c r="C511" i="30"/>
  <c r="C512" i="30"/>
  <c r="C513" i="30"/>
  <c r="C514" i="30"/>
  <c r="C515" i="30"/>
  <c r="C516" i="30"/>
  <c r="C517" i="30"/>
  <c r="C518" i="30"/>
  <c r="C519" i="30"/>
  <c r="C520" i="30"/>
  <c r="C521" i="30"/>
  <c r="C536" i="30"/>
  <c r="C537" i="30"/>
  <c r="C538" i="30"/>
  <c r="C539" i="30"/>
  <c r="C562" i="30"/>
  <c r="C563" i="30"/>
  <c r="C564" i="30"/>
  <c r="C565" i="30"/>
  <c r="C566" i="30"/>
  <c r="C567" i="30"/>
  <c r="C568" i="30"/>
  <c r="C570" i="30"/>
  <c r="C571" i="30"/>
  <c r="C578" i="30"/>
  <c r="C579" i="30"/>
  <c r="C581" i="30"/>
  <c r="C8" i="30"/>
  <c r="E3" i="30" s="1"/>
  <c r="C10" i="30"/>
  <c r="C9" i="30"/>
  <c r="AJ108" i="17"/>
  <c r="AK108" i="17"/>
  <c r="AK109" i="17" s="1"/>
  <c r="AL108" i="17"/>
  <c r="AL109" i="17" s="1"/>
  <c r="AM108" i="17"/>
  <c r="AM109" i="17" s="1"/>
  <c r="AN108" i="17"/>
  <c r="AN109" i="17" s="1"/>
  <c r="AO108" i="17"/>
  <c r="AO109" i="17" s="1"/>
  <c r="AP108" i="17"/>
  <c r="AP109" i="17" s="1"/>
  <c r="AQ108" i="17"/>
  <c r="AQ109" i="17" s="1"/>
  <c r="AR108" i="17"/>
  <c r="AR109" i="17" s="1"/>
  <c r="AI108" i="17"/>
  <c r="AI109" i="17" s="1"/>
  <c r="AQ91" i="17"/>
  <c r="AR91" i="17"/>
  <c r="AI91" i="17"/>
  <c r="G72" i="30"/>
  <c r="H72" i="30"/>
  <c r="I72" i="30"/>
  <c r="J72" i="30"/>
  <c r="K72" i="30"/>
  <c r="L72" i="30"/>
  <c r="F72" i="30"/>
  <c r="G58" i="30"/>
  <c r="H58" i="30"/>
  <c r="I58" i="30"/>
  <c r="J58" i="30"/>
  <c r="K58" i="30"/>
  <c r="L58" i="30"/>
  <c r="F58" i="30"/>
  <c r="L59" i="30"/>
  <c r="F62" i="30"/>
  <c r="G62" i="30"/>
  <c r="H62" i="30"/>
  <c r="I62" i="30"/>
  <c r="J62" i="30"/>
  <c r="K62" i="30"/>
  <c r="L62" i="30"/>
  <c r="F63" i="30"/>
  <c r="G63" i="30"/>
  <c r="H63" i="30"/>
  <c r="I63" i="30"/>
  <c r="J63" i="30"/>
  <c r="K63" i="30"/>
  <c r="L63" i="30"/>
  <c r="F64" i="30"/>
  <c r="G64" i="30"/>
  <c r="H64" i="30"/>
  <c r="I64" i="30"/>
  <c r="J64" i="30"/>
  <c r="K64" i="30"/>
  <c r="L64" i="30"/>
  <c r="F65" i="30"/>
  <c r="G65" i="30"/>
  <c r="H65" i="30"/>
  <c r="I65" i="30"/>
  <c r="J65" i="30"/>
  <c r="K65" i="30"/>
  <c r="L65" i="30"/>
  <c r="F66" i="30"/>
  <c r="G66" i="30"/>
  <c r="H66" i="30"/>
  <c r="I66" i="30"/>
  <c r="J66" i="30"/>
  <c r="K66" i="30"/>
  <c r="L66" i="30"/>
  <c r="F67" i="30"/>
  <c r="G67" i="30"/>
  <c r="H67" i="30"/>
  <c r="I67" i="30"/>
  <c r="J67" i="30"/>
  <c r="K67" i="30"/>
  <c r="L67" i="30"/>
  <c r="G61" i="30"/>
  <c r="H61" i="30"/>
  <c r="I61" i="30"/>
  <c r="J61" i="30"/>
  <c r="K61" i="30"/>
  <c r="L61" i="30"/>
  <c r="F61" i="30"/>
  <c r="G60" i="30"/>
  <c r="H60" i="30"/>
  <c r="I60" i="30"/>
  <c r="J60" i="30"/>
  <c r="K60" i="30"/>
  <c r="L60" i="30"/>
  <c r="F60" i="30"/>
  <c r="G59" i="30"/>
  <c r="H59" i="30"/>
  <c r="I59" i="30"/>
  <c r="J59" i="30"/>
  <c r="K59" i="30"/>
  <c r="F59" i="30"/>
  <c r="G273" i="60"/>
  <c r="J269" i="60"/>
  <c r="J278" i="60" s="1"/>
  <c r="J273" i="60"/>
  <c r="I273" i="60"/>
  <c r="H273" i="60"/>
  <c r="AA61" i="17"/>
  <c r="AB61" i="17"/>
  <c r="AC61" i="17"/>
  <c r="AD61" i="17"/>
  <c r="AA60" i="17"/>
  <c r="AB60" i="17"/>
  <c r="AC60" i="17"/>
  <c r="AD60" i="17"/>
  <c r="AA57" i="17"/>
  <c r="AB57" i="17"/>
  <c r="AC57" i="17"/>
  <c r="AD57" i="17"/>
  <c r="AA52" i="17"/>
  <c r="AB52" i="17"/>
  <c r="AC52" i="17"/>
  <c r="AD52" i="17"/>
  <c r="AA44" i="17"/>
  <c r="AA43" i="17"/>
  <c r="G283" i="60"/>
  <c r="G284" i="60"/>
  <c r="H283" i="60"/>
  <c r="H284" i="60"/>
  <c r="H285" i="60"/>
  <c r="G285" i="60"/>
  <c r="I269" i="60"/>
  <c r="H276" i="60"/>
  <c r="H277" i="60"/>
  <c r="H275" i="60"/>
  <c r="H274" i="60"/>
  <c r="G276" i="60"/>
  <c r="G277" i="60"/>
  <c r="G275" i="60"/>
  <c r="G274" i="60"/>
  <c r="H271" i="60"/>
  <c r="H272" i="60"/>
  <c r="H270" i="60"/>
  <c r="G272" i="60"/>
  <c r="G270" i="60"/>
  <c r="AK91" i="17"/>
  <c r="AN91" i="17"/>
  <c r="AP91" i="17"/>
  <c r="G271" i="60"/>
  <c r="AL91" i="17"/>
  <c r="AO91" i="17"/>
  <c r="AM91" i="17"/>
  <c r="AJ91" i="17"/>
  <c r="H269" i="60"/>
  <c r="AJ109" i="17"/>
  <c r="O4" i="54"/>
  <c r="G9" i="54"/>
  <c r="H9" i="54"/>
  <c r="F9" i="54"/>
  <c r="G269" i="60"/>
  <c r="G278" i="60" s="1"/>
  <c r="F5" i="66" l="1"/>
  <c r="E4" i="66"/>
  <c r="K255" i="60"/>
  <c r="K244" i="60"/>
  <c r="K245" i="60"/>
  <c r="K247" i="60"/>
  <c r="K252" i="60"/>
  <c r="J242" i="60"/>
  <c r="J245" i="60"/>
  <c r="J257" i="60"/>
  <c r="J258" i="60"/>
  <c r="J248" i="60"/>
  <c r="H258" i="60"/>
  <c r="G257" i="60"/>
  <c r="G247" i="60"/>
  <c r="G248" i="60"/>
  <c r="G251" i="60"/>
  <c r="G250" i="60"/>
  <c r="H526" i="30"/>
  <c r="H525" i="30"/>
  <c r="H537" i="30"/>
  <c r="I247" i="60"/>
  <c r="J3" i="71"/>
  <c r="E3" i="71"/>
  <c r="I250" i="60"/>
  <c r="K98" i="60"/>
  <c r="I253" i="60"/>
  <c r="I252" i="60"/>
  <c r="I254" i="60"/>
  <c r="I248" i="60"/>
  <c r="I243" i="60"/>
  <c r="E3" i="68"/>
  <c r="J3" i="68"/>
  <c r="E3" i="70"/>
  <c r="J3" i="70"/>
  <c r="I255" i="60"/>
  <c r="I244" i="60"/>
  <c r="I246" i="60"/>
  <c r="I256" i="60"/>
  <c r="E4" i="68"/>
  <c r="J89" i="68"/>
  <c r="I529" i="30"/>
  <c r="I245" i="60"/>
  <c r="I258" i="60"/>
  <c r="H528" i="30"/>
  <c r="K522" i="30"/>
  <c r="L528" i="30"/>
  <c r="H532" i="30"/>
  <c r="H521" i="30"/>
  <c r="F531" i="30"/>
  <c r="H536" i="30"/>
  <c r="L530" i="30"/>
  <c r="L249" i="60"/>
  <c r="E4" i="67"/>
  <c r="H524" i="30"/>
  <c r="G258" i="60"/>
  <c r="I257" i="60"/>
  <c r="L251" i="60"/>
  <c r="E4" i="65"/>
  <c r="H4" i="71"/>
  <c r="L252" i="60"/>
  <c r="H527" i="30"/>
  <c r="I242" i="60"/>
  <c r="I249" i="60"/>
  <c r="L254" i="60"/>
  <c r="I251" i="60"/>
  <c r="E5" i="30"/>
  <c r="L244" i="60"/>
  <c r="L256" i="60"/>
  <c r="H346" i="67"/>
  <c r="F346" i="67"/>
  <c r="G354" i="67"/>
  <c r="L354" i="67"/>
  <c r="J354" i="67"/>
  <c r="F89" i="68"/>
  <c r="L245" i="60"/>
  <c r="I346" i="67"/>
  <c r="G346" i="67"/>
  <c r="H354" i="67"/>
  <c r="F354" i="67"/>
  <c r="I89" i="68"/>
  <c r="G89" i="68"/>
  <c r="K278" i="60"/>
  <c r="L257" i="60"/>
  <c r="H120" i="70"/>
  <c r="J3" i="59"/>
  <c r="I213" i="59"/>
  <c r="F5" i="59"/>
  <c r="F4" i="59"/>
  <c r="E4" i="59"/>
  <c r="F189" i="59"/>
  <c r="L189" i="59"/>
  <c r="H189" i="59"/>
  <c r="I523" i="30"/>
  <c r="F249" i="60"/>
  <c r="F526" i="30"/>
  <c r="F528" i="30"/>
  <c r="F529" i="30"/>
  <c r="F520" i="30"/>
  <c r="I535" i="30"/>
  <c r="I537" i="30"/>
  <c r="I527" i="30"/>
  <c r="K534" i="30"/>
  <c r="H531" i="30"/>
  <c r="F532" i="30"/>
  <c r="F527" i="30"/>
  <c r="F530" i="30"/>
  <c r="I328" i="64"/>
  <c r="G337" i="64"/>
  <c r="L339" i="64"/>
  <c r="G335" i="64"/>
  <c r="G339" i="64"/>
  <c r="I324" i="64"/>
  <c r="I331" i="64"/>
  <c r="H324" i="64"/>
  <c r="F353" i="64"/>
  <c r="I332" i="64"/>
  <c r="F327" i="64"/>
  <c r="G340" i="64"/>
  <c r="I325" i="64"/>
  <c r="J327" i="64"/>
  <c r="H330" i="64"/>
  <c r="F328" i="64"/>
  <c r="G329" i="64"/>
  <c r="I337" i="64"/>
  <c r="J328" i="64"/>
  <c r="H325" i="64"/>
  <c r="H331" i="64"/>
  <c r="L323" i="64"/>
  <c r="I336" i="64"/>
  <c r="G332" i="64"/>
  <c r="G330" i="64"/>
  <c r="K335" i="64"/>
  <c r="G324" i="64"/>
  <c r="H338" i="64"/>
  <c r="I338" i="64"/>
  <c r="L335" i="64"/>
  <c r="G331" i="64"/>
  <c r="H335" i="64"/>
  <c r="E4" i="64"/>
  <c r="G336" i="64"/>
  <c r="H327" i="64"/>
  <c r="I327" i="64"/>
  <c r="L336" i="64"/>
  <c r="H334" i="64"/>
  <c r="I333" i="64"/>
  <c r="H336" i="64"/>
  <c r="G328" i="64"/>
  <c r="H329" i="64"/>
  <c r="F340" i="64"/>
  <c r="I326" i="64"/>
  <c r="G333" i="64"/>
  <c r="G325" i="64"/>
  <c r="H339" i="64"/>
  <c r="I339" i="64"/>
  <c r="L325" i="64"/>
  <c r="G334" i="64"/>
  <c r="H333" i="64"/>
  <c r="F323" i="64"/>
  <c r="H328" i="64"/>
  <c r="G326" i="64"/>
  <c r="H340" i="64"/>
  <c r="I340" i="64"/>
  <c r="L328" i="64"/>
  <c r="J353" i="64"/>
  <c r="K358" i="64"/>
  <c r="G338" i="64"/>
  <c r="H332" i="64"/>
  <c r="I329" i="64"/>
  <c r="L329" i="64"/>
  <c r="I334" i="64"/>
  <c r="H323" i="64"/>
  <c r="G327" i="64"/>
  <c r="I335" i="64"/>
  <c r="I330" i="64"/>
  <c r="L333" i="64"/>
  <c r="H337" i="64"/>
  <c r="G532" i="30"/>
  <c r="G525" i="30"/>
  <c r="H533" i="30"/>
  <c r="H529" i="30"/>
  <c r="L532" i="30"/>
  <c r="F533" i="30"/>
  <c r="H522" i="30"/>
  <c r="I532" i="30"/>
  <c r="L535" i="30"/>
  <c r="F524" i="30"/>
  <c r="H534" i="30"/>
  <c r="I533" i="30"/>
  <c r="L525" i="30"/>
  <c r="F536" i="30"/>
  <c r="H523" i="30"/>
  <c r="I522" i="30"/>
  <c r="L537" i="30"/>
  <c r="H530" i="30"/>
  <c r="F537" i="30"/>
  <c r="H535" i="30"/>
  <c r="I534" i="30"/>
  <c r="L527" i="30"/>
  <c r="J532" i="30"/>
  <c r="K324" i="64"/>
  <c r="H353" i="64"/>
  <c r="K521" i="30"/>
  <c r="J522" i="30"/>
  <c r="J531" i="30"/>
  <c r="J4" i="30"/>
  <c r="J98" i="60"/>
  <c r="I353" i="64"/>
  <c r="I521" i="30"/>
  <c r="I528" i="30"/>
  <c r="K533" i="30"/>
  <c r="L524" i="30"/>
  <c r="J340" i="64"/>
  <c r="L324" i="64"/>
  <c r="G242" i="60"/>
  <c r="L255" i="60"/>
  <c r="J520" i="30"/>
  <c r="K323" i="64"/>
  <c r="F244" i="60"/>
  <c r="H4" i="68"/>
  <c r="H358" i="64"/>
  <c r="J523" i="30"/>
  <c r="K523" i="30"/>
  <c r="L526" i="30"/>
  <c r="K325" i="64"/>
  <c r="J526" i="30"/>
  <c r="F4" i="65"/>
  <c r="L520" i="30"/>
  <c r="J4" i="67"/>
  <c r="E5" i="68"/>
  <c r="J346" i="67"/>
  <c r="I354" i="67"/>
  <c r="J189" i="59"/>
  <c r="F5" i="30"/>
  <c r="J535" i="30"/>
  <c r="K537" i="30"/>
  <c r="K337" i="64"/>
  <c r="J533" i="30"/>
  <c r="H4" i="65"/>
  <c r="K346" i="67"/>
  <c r="K89" i="68"/>
  <c r="L89" i="68"/>
  <c r="I358" i="64"/>
  <c r="L346" i="67"/>
  <c r="K354" i="67"/>
  <c r="L4" i="30"/>
  <c r="G526" i="30"/>
  <c r="I524" i="30"/>
  <c r="J536" i="30"/>
  <c r="K528" i="30"/>
  <c r="J325" i="64"/>
  <c r="K338" i="64"/>
  <c r="L330" i="64"/>
  <c r="K257" i="60"/>
  <c r="L250" i="60"/>
  <c r="J521" i="30"/>
  <c r="F521" i="30"/>
  <c r="H4" i="67"/>
  <c r="F165" i="59"/>
  <c r="J534" i="30"/>
  <c r="K526" i="30"/>
  <c r="F3" i="66"/>
  <c r="G527" i="30"/>
  <c r="I536" i="30"/>
  <c r="J525" i="30"/>
  <c r="K529" i="30"/>
  <c r="J337" i="64"/>
  <c r="K327" i="64"/>
  <c r="L331" i="64"/>
  <c r="K246" i="60"/>
  <c r="K531" i="30"/>
  <c r="L165" i="59"/>
  <c r="J213" i="59"/>
  <c r="J4" i="71"/>
  <c r="H278" i="60"/>
  <c r="J524" i="30"/>
  <c r="K326" i="64"/>
  <c r="F358" i="64"/>
  <c r="I525" i="30"/>
  <c r="J537" i="30"/>
  <c r="K530" i="30"/>
  <c r="J338" i="64"/>
  <c r="K330" i="64"/>
  <c r="L332" i="64"/>
  <c r="K258" i="60"/>
  <c r="I531" i="30"/>
  <c r="I530" i="30"/>
  <c r="G520" i="30"/>
  <c r="K241" i="60"/>
  <c r="J165" i="59"/>
  <c r="H5" i="68"/>
  <c r="J4" i="64"/>
  <c r="H4" i="64"/>
  <c r="K353" i="64"/>
  <c r="K352" i="64" s="1"/>
  <c r="G358" i="64"/>
  <c r="L358" i="64"/>
  <c r="J358" i="64"/>
  <c r="J528" i="30"/>
  <c r="K331" i="64"/>
  <c r="J530" i="30"/>
  <c r="H165" i="59"/>
  <c r="J3" i="64"/>
  <c r="G353" i="64"/>
  <c r="L353" i="64"/>
  <c r="I526" i="30"/>
  <c r="J529" i="30"/>
  <c r="L521" i="30"/>
  <c r="J339" i="64"/>
  <c r="K333" i="64"/>
  <c r="G253" i="60"/>
  <c r="L242" i="60"/>
  <c r="L241" i="60"/>
  <c r="G165" i="59"/>
  <c r="G189" i="59"/>
  <c r="G213" i="59"/>
  <c r="I278" i="60"/>
  <c r="F213" i="59"/>
  <c r="H213" i="59"/>
  <c r="F120" i="70"/>
  <c r="I120" i="70"/>
  <c r="J120" i="70"/>
  <c r="J4" i="70"/>
  <c r="H4" i="70"/>
  <c r="K120" i="70"/>
  <c r="G120" i="70"/>
  <c r="L120" i="70"/>
  <c r="F4" i="70"/>
  <c r="E4" i="70"/>
  <c r="L278" i="60"/>
  <c r="G246" i="60"/>
  <c r="H257" i="60"/>
  <c r="J254" i="60"/>
  <c r="F256" i="60"/>
  <c r="H245" i="60"/>
  <c r="H246" i="60"/>
  <c r="F247" i="60"/>
  <c r="F250" i="60"/>
  <c r="H247" i="60"/>
  <c r="I98" i="60"/>
  <c r="G254" i="60"/>
  <c r="H253" i="60"/>
  <c r="H248" i="60"/>
  <c r="J247" i="60"/>
  <c r="F251" i="60"/>
  <c r="G249" i="60"/>
  <c r="H242" i="60"/>
  <c r="H249" i="60"/>
  <c r="H251" i="60"/>
  <c r="G252" i="60"/>
  <c r="F252" i="60"/>
  <c r="G243" i="60"/>
  <c r="H254" i="60"/>
  <c r="H250" i="60"/>
  <c r="J251" i="60"/>
  <c r="F241" i="60"/>
  <c r="E4" i="60"/>
  <c r="G255" i="60"/>
  <c r="H243" i="60"/>
  <c r="J250" i="60"/>
  <c r="F253" i="60"/>
  <c r="G244" i="60"/>
  <c r="H255" i="60"/>
  <c r="G256" i="60"/>
  <c r="H244" i="60"/>
  <c r="F278" i="60"/>
  <c r="G245" i="60"/>
  <c r="H256" i="60"/>
  <c r="J253" i="60"/>
  <c r="H252" i="60"/>
  <c r="F255" i="60"/>
  <c r="H4" i="60"/>
  <c r="J3" i="60"/>
  <c r="H5" i="60"/>
  <c r="F4" i="60"/>
  <c r="E5" i="60"/>
  <c r="F5" i="60"/>
  <c r="L4" i="60"/>
  <c r="J4" i="68"/>
  <c r="J4" i="59"/>
  <c r="F4" i="30"/>
  <c r="J4" i="60"/>
  <c r="F522" i="30"/>
  <c r="G521" i="30"/>
  <c r="G528" i="30"/>
  <c r="K535" i="30"/>
  <c r="L533" i="30"/>
  <c r="L529" i="30"/>
  <c r="F329" i="64"/>
  <c r="J329" i="64"/>
  <c r="K339" i="64"/>
  <c r="L337" i="64"/>
  <c r="J243" i="60"/>
  <c r="K253" i="60"/>
  <c r="K248" i="60"/>
  <c r="L246" i="60"/>
  <c r="L531" i="30"/>
  <c r="H4" i="66"/>
  <c r="F245" i="60"/>
  <c r="F254" i="60"/>
  <c r="F534" i="30"/>
  <c r="G533" i="30"/>
  <c r="G529" i="30"/>
  <c r="K524" i="30"/>
  <c r="L522" i="30"/>
  <c r="F335" i="64"/>
  <c r="F330" i="64"/>
  <c r="J335" i="64"/>
  <c r="J330" i="64"/>
  <c r="K328" i="64"/>
  <c r="L326" i="64"/>
  <c r="J255" i="60"/>
  <c r="K242" i="60"/>
  <c r="K249" i="60"/>
  <c r="L258" i="60"/>
  <c r="K251" i="60"/>
  <c r="J252" i="60"/>
  <c r="J3" i="67"/>
  <c r="F257" i="60"/>
  <c r="F242" i="60"/>
  <c r="L4" i="64"/>
  <c r="F5" i="68"/>
  <c r="E4" i="30"/>
  <c r="F523" i="30"/>
  <c r="G522" i="30"/>
  <c r="G530" i="30"/>
  <c r="K536" i="30"/>
  <c r="L534" i="30"/>
  <c r="F324" i="64"/>
  <c r="F331" i="64"/>
  <c r="J324" i="64"/>
  <c r="J331" i="64"/>
  <c r="K340" i="64"/>
  <c r="L338" i="64"/>
  <c r="J244" i="60"/>
  <c r="K254" i="60"/>
  <c r="K250" i="60"/>
  <c r="L247" i="60"/>
  <c r="L334" i="64"/>
  <c r="K334" i="64"/>
  <c r="F4" i="66"/>
  <c r="E3" i="67"/>
  <c r="F246" i="60"/>
  <c r="F5" i="64"/>
  <c r="H4" i="30"/>
  <c r="E5" i="64"/>
  <c r="F535" i="30"/>
  <c r="G534" i="30"/>
  <c r="K525" i="30"/>
  <c r="L523" i="30"/>
  <c r="F336" i="64"/>
  <c r="F332" i="64"/>
  <c r="J336" i="64"/>
  <c r="J332" i="64"/>
  <c r="K329" i="64"/>
  <c r="L327" i="64"/>
  <c r="J256" i="60"/>
  <c r="K243" i="60"/>
  <c r="L253" i="60"/>
  <c r="L248" i="60"/>
  <c r="J333" i="64"/>
  <c r="E3" i="66"/>
  <c r="H5" i="67"/>
  <c r="F258" i="60"/>
  <c r="F243" i="60"/>
  <c r="F4" i="71"/>
  <c r="H4" i="59"/>
  <c r="H5" i="59"/>
  <c r="G523" i="30"/>
  <c r="F325" i="64"/>
  <c r="F5" i="67"/>
  <c r="L4" i="67"/>
  <c r="H5" i="30"/>
  <c r="E5" i="59"/>
  <c r="G535" i="30"/>
  <c r="F337" i="64"/>
  <c r="G531" i="30"/>
  <c r="E5" i="67"/>
  <c r="G524" i="30"/>
  <c r="K532" i="30"/>
  <c r="K527" i="30"/>
  <c r="F326" i="64"/>
  <c r="J326" i="64"/>
  <c r="K336" i="64"/>
  <c r="J246" i="60"/>
  <c r="F333" i="64"/>
  <c r="J334" i="64"/>
  <c r="J3" i="30"/>
  <c r="F4" i="64"/>
  <c r="G536" i="30"/>
  <c r="F338" i="64"/>
  <c r="F334" i="64"/>
  <c r="E5" i="66"/>
  <c r="F4" i="67"/>
  <c r="H5" i="64"/>
  <c r="J4" i="66"/>
  <c r="F4" i="68"/>
  <c r="J5" i="66"/>
  <c r="H352" i="64" l="1"/>
  <c r="F352" i="64"/>
  <c r="G352" i="64"/>
  <c r="J352" i="64"/>
  <c r="I352" i="64"/>
  <c r="L352" i="6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èle de donnée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partage_hypothèses_AME.xlsx!Consommation_IGCE" type="102" refreshedVersion="6" minRefreshableVersion="5">
    <extLst>
      <ext xmlns:x15="http://schemas.microsoft.com/office/spreadsheetml/2010/11/main" uri="{DE250136-89BD-433C-8126-D09CA5730AF9}">
        <x15:connection id="Consommation_IGCE" autoDelete="1">
          <x15:rangePr sourceName="_xlcn.WorksheetConnection_partage_hypothèses_AME.xlsxConsommation_IGCE1"/>
        </x15:connection>
      </ext>
    </extLst>
  </connection>
  <connection id="3" xr16:uid="{00000000-0015-0000-FFFF-FFFF02000000}" name="WorksheetConnection_partage_hypothèses_AME.xlsx!Tableau1" type="102" refreshedVersion="6" minRefreshableVersion="5">
    <extLst>
      <ext xmlns:x15="http://schemas.microsoft.com/office/spreadsheetml/2010/11/main" uri="{DE250136-89BD-433C-8126-D09CA5730AF9}">
        <x15:connection id="Tableau1">
          <x15:rangePr sourceName="_xlcn.WorksheetConnection_partage_hypothèses_AME.xlsxTableau11"/>
        </x15:connection>
      </ext>
    </extLst>
  </connection>
</connection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<sst xmlns="http://schemas.openxmlformats.org/spreadsheetml/2006/main" count="3152" uniqueCount="1109">
  <si>
    <t>Industrie</t>
  </si>
  <si>
    <t>Transport</t>
  </si>
  <si>
    <t>Chimie</t>
  </si>
  <si>
    <t>Construction</t>
  </si>
  <si>
    <t>Métallurgie des métaux non-ferreux</t>
  </si>
  <si>
    <t>Minéraux non-métalliques, matériaux de construction</t>
  </si>
  <si>
    <t>Papier, carton</t>
  </si>
  <si>
    <t>Autres industries manufacturières</t>
  </si>
  <si>
    <t>Transport ferroviaire</t>
  </si>
  <si>
    <t>Volailles</t>
  </si>
  <si>
    <t>Incinération sans récupération d'énergie</t>
  </si>
  <si>
    <t>Autres traitements des déchets solides</t>
  </si>
  <si>
    <t>Traitement des eaux usées</t>
  </si>
  <si>
    <t>Production d'électricité</t>
  </si>
  <si>
    <t>Chauffage urbain</t>
  </si>
  <si>
    <t>Raffinage du pétrole</t>
  </si>
  <si>
    <t>Extraction et distribution de combustibles solides</t>
  </si>
  <si>
    <t>Extraction et distribution de combustibles liquides</t>
  </si>
  <si>
    <t>Extraction et distribution de combustibles gazeux</t>
  </si>
  <si>
    <t>Valorisation énergétique des déchets</t>
  </si>
  <si>
    <t>Stockage des déchets</t>
  </si>
  <si>
    <t>Réfrigération tertiaire</t>
  </si>
  <si>
    <t>Climatisation domestique</t>
  </si>
  <si>
    <t>Chauffage, eau chaude sanitaire et cuisson domestique</t>
  </si>
  <si>
    <t>Déchets</t>
  </si>
  <si>
    <t>Transformation des combustibles minéraux solides</t>
  </si>
  <si>
    <t>Forêts</t>
  </si>
  <si>
    <t>Zones humides</t>
  </si>
  <si>
    <t>Zones artificialisées</t>
  </si>
  <si>
    <t>Produits bois</t>
  </si>
  <si>
    <t>CO2e</t>
  </si>
  <si>
    <t>Total gaz à effet de serre</t>
  </si>
  <si>
    <t>Méthodologie d'estimation : citepa.org/ominea</t>
  </si>
  <si>
    <t>Récapitulatif des émissions par grand secteur</t>
  </si>
  <si>
    <t>Emissions de CO2e (MtCO2e/an)
Périmètre : Métropole et Outre-mer inclus dans l'UE</t>
  </si>
  <si>
    <t>Industrie de l'énergie</t>
  </si>
  <si>
    <t>Industrie manufacturière et construction</t>
  </si>
  <si>
    <t>Traitement centralisé des déchets</t>
  </si>
  <si>
    <t>Usage des bâtiments et activités résidentiels/tertiaires</t>
  </si>
  <si>
    <t>Agriculture / sylviculture</t>
  </si>
  <si>
    <t>Transports</t>
  </si>
  <si>
    <t>Transport hors total</t>
  </si>
  <si>
    <t>TOTAL national hors UTCATF</t>
  </si>
  <si>
    <t>UTCATF</t>
  </si>
  <si>
    <t>Emissions naturelles hors total</t>
  </si>
  <si>
    <t>TOTAL national avec UTCATF</t>
  </si>
  <si>
    <t>Hors total</t>
  </si>
  <si>
    <t>Détail des émissions par sous-secteur</t>
  </si>
  <si>
    <t>Fabrication de charbon de bois par pyrolyse</t>
  </si>
  <si>
    <t>Total Industrie de l'énergie</t>
  </si>
  <si>
    <t>Agro-alimentaire</t>
  </si>
  <si>
    <t>Total Industrie manufacturière</t>
  </si>
  <si>
    <t>Total traitement centralisé des déchets</t>
  </si>
  <si>
    <t>Réfrigération domestique</t>
  </si>
  <si>
    <t>Utilisation de produits domestiques (y.c. peintures, aérosols)</t>
  </si>
  <si>
    <t>Engins (y.c. jardinage) domestiques</t>
  </si>
  <si>
    <t>Déchets et brûlage domestiques et eaux usées</t>
  </si>
  <si>
    <t>Autres activités domestiques (tabac et feux d’artifices)</t>
  </si>
  <si>
    <t>sous-total Usage des bâtiments résidentiels et activités domestiques</t>
  </si>
  <si>
    <t>Chauffage, eau chaude sanitaire et cuisson tertiaire</t>
  </si>
  <si>
    <t>Climatisation tertiaire</t>
  </si>
  <si>
    <t>Utilisation de produits tertiaires (y.c. solvants, peintures, aérosols, anesthésie)</t>
  </si>
  <si>
    <t>Autres activités tertiaires (y.c. feux d’artifices, activités militaires, crémation)</t>
  </si>
  <si>
    <t>Total Usage des bâtiments et activités résidentiels/tertiaires</t>
  </si>
  <si>
    <t>Bovins</t>
  </si>
  <si>
    <t>Porcins</t>
  </si>
  <si>
    <t>Autres émissions de l'élevage</t>
  </si>
  <si>
    <t>sous-total Elevage</t>
  </si>
  <si>
    <t>Engrais et amendements minéraux</t>
  </si>
  <si>
    <t>Engrais et amendements organiques</t>
  </si>
  <si>
    <t>Pâture</t>
  </si>
  <si>
    <t>Brûlage de résidus agricoles</t>
  </si>
  <si>
    <t>Autres émissions des cultures</t>
  </si>
  <si>
    <t>Engins, moteurs et chaudières en agriculture</t>
  </si>
  <si>
    <t>Engins, moteurs et chaudières en sylviculture</t>
  </si>
  <si>
    <t>Total agriculture / sylviculture</t>
  </si>
  <si>
    <t>VP diesel</t>
  </si>
  <si>
    <t>VP essence</t>
  </si>
  <si>
    <t>VP GPL</t>
  </si>
  <si>
    <t>VP GNV</t>
  </si>
  <si>
    <t>VP électriques</t>
  </si>
  <si>
    <t>VUL diesel</t>
  </si>
  <si>
    <t>VUL essence</t>
  </si>
  <si>
    <t>VUL GPL</t>
  </si>
  <si>
    <t>VUL GNV</t>
  </si>
  <si>
    <t>VUL électriques</t>
  </si>
  <si>
    <t>PL de marchandises diesel</t>
  </si>
  <si>
    <t>PL de marchandises essence</t>
  </si>
  <si>
    <t>PL de marchandises GNV</t>
  </si>
  <si>
    <t>PL de marchandises électriques</t>
  </si>
  <si>
    <t>Bus et cars diesel</t>
  </si>
  <si>
    <t>Bus et cars essence</t>
  </si>
  <si>
    <t>Bus et cars GNV</t>
  </si>
  <si>
    <t>Bus et cars électriques</t>
  </si>
  <si>
    <t>Deux roues essence</t>
  </si>
  <si>
    <t>Deux roues diesel</t>
  </si>
  <si>
    <t>Deux roues électriques</t>
  </si>
  <si>
    <t>sous-total Transport routier</t>
  </si>
  <si>
    <t>Transport fluvial de marchandises</t>
  </si>
  <si>
    <t>Transport maritime domestique</t>
  </si>
  <si>
    <t>Transport autres navigations</t>
  </si>
  <si>
    <t>Transport aérien français</t>
  </si>
  <si>
    <t>sous-total Autres transports</t>
  </si>
  <si>
    <t>Total transports (total national)</t>
  </si>
  <si>
    <t>Transport fluvial international - hors total national</t>
  </si>
  <si>
    <t>Transport maritime international - hors total national</t>
  </si>
  <si>
    <t>Transport aérien international - hors total national</t>
  </si>
  <si>
    <t>Autres engins hors total national</t>
  </si>
  <si>
    <t>Total transport international exclu du total national</t>
  </si>
  <si>
    <t>UTCATF (Utilisation des Terres, Changements d'Affectation des Terres et Forêt)</t>
  </si>
  <si>
    <t>Terres cultivées</t>
  </si>
  <si>
    <t>Prairies</t>
  </si>
  <si>
    <t>Autres terres</t>
  </si>
  <si>
    <t>Barrages</t>
  </si>
  <si>
    <t>Total UTCATF (total national)</t>
  </si>
  <si>
    <t>Capture directe du carbone (DAC "Direct Carbon Capture")</t>
  </si>
  <si>
    <t>Non projeté</t>
  </si>
  <si>
    <t>Prospectif</t>
  </si>
  <si>
    <t>Agriculture</t>
  </si>
  <si>
    <t>Population</t>
  </si>
  <si>
    <t>Bâtiments</t>
  </si>
  <si>
    <t>%</t>
  </si>
  <si>
    <t>sous-total Culture</t>
  </si>
  <si>
    <t>sous-total Engins, moteurs et chaudières</t>
  </si>
  <si>
    <t>unité</t>
  </si>
  <si>
    <t>2030</t>
  </si>
  <si>
    <t>Pétrochimie (hors CCS)</t>
  </si>
  <si>
    <t>Ammoniac (hors CCS)</t>
  </si>
  <si>
    <t>Sucre (hors CCS)</t>
  </si>
  <si>
    <t>Aluminium (hors CCS)</t>
  </si>
  <si>
    <t>Clinker (hors CCS)</t>
  </si>
  <si>
    <t>Verre</t>
  </si>
  <si>
    <t>MtCO2</t>
  </si>
  <si>
    <t>2050</t>
  </si>
  <si>
    <t>Hypothèses</t>
  </si>
  <si>
    <t>Production</t>
  </si>
  <si>
    <t>Clinker</t>
  </si>
  <si>
    <t>Résultats</t>
  </si>
  <si>
    <t>Consommation</t>
  </si>
  <si>
    <t>Compléments</t>
  </si>
  <si>
    <r>
      <rPr>
        <b/>
        <sz val="12"/>
        <color theme="1"/>
        <rFont val="Marianne"/>
        <family val="3"/>
      </rPr>
      <t>Commentaire</t>
    </r>
    <r>
      <rPr>
        <sz val="12"/>
        <color theme="1"/>
        <rFont val="Marianne"/>
        <family val="3"/>
      </rPr>
      <t xml:space="preserve">
IGCE = 
Diffus = </t>
    </r>
  </si>
  <si>
    <t>Consommations d'énergie</t>
  </si>
  <si>
    <t>Emissions de gaz à effet de serre</t>
  </si>
  <si>
    <t>Production des IGCE (Mt)</t>
  </si>
  <si>
    <t>Total</t>
  </si>
  <si>
    <t>Acier</t>
  </si>
  <si>
    <t>Ethylène</t>
  </si>
  <si>
    <t>Papiers cartons</t>
  </si>
  <si>
    <t>Sucre</t>
  </si>
  <si>
    <t>Ammoniac</t>
  </si>
  <si>
    <t>Mégatonne (Mt)</t>
  </si>
  <si>
    <t>Consommation des IGCE (Mt)</t>
  </si>
  <si>
    <t xml:space="preserve">Haut fourneaux </t>
  </si>
  <si>
    <t>Procédé électrique</t>
  </si>
  <si>
    <t>Réduction directe du fer (DRI)</t>
  </si>
  <si>
    <t>Chlore</t>
  </si>
  <si>
    <t>Rapport Production/Consommation</t>
  </si>
  <si>
    <t>Balances commerciales des IGCE (sans unité)</t>
  </si>
  <si>
    <t>VA en Md€ de 2015</t>
  </si>
  <si>
    <t>Métaux primaires</t>
  </si>
  <si>
    <t>Minéraux non-métalliques</t>
  </si>
  <si>
    <t xml:space="preserve">Equipements </t>
  </si>
  <si>
    <t>Autres (textile, etc.)</t>
  </si>
  <si>
    <t>Total diffus (hors construction)</t>
  </si>
  <si>
    <t>Industries Alimentaires et Agricoles</t>
  </si>
  <si>
    <t xml:space="preserve">Emissions de gaz à effet de serre </t>
  </si>
  <si>
    <t>Production d'électricité - CCS/CCU</t>
  </si>
  <si>
    <t>Chauffage urbain - CCS/CCU</t>
  </si>
  <si>
    <t>Raffinage du pétrole - CCS/CCU</t>
  </si>
  <si>
    <t>Production d'électricité - sources d'émissions</t>
  </si>
  <si>
    <t>Chauffage urbain - sources d'émissions</t>
  </si>
  <si>
    <t>Raffinage du pétrole - sources d'émissions</t>
  </si>
  <si>
    <t>Chimie - CCS/CCU</t>
  </si>
  <si>
    <t>Construction - CCS/CCU</t>
  </si>
  <si>
    <t>Biens d'équipements, matériels de transport - CCS/CCU</t>
  </si>
  <si>
    <t>Agro-alimentaire - CCS/CCU</t>
  </si>
  <si>
    <t>Métallurgie des métaux ferreux - CCS/CCU</t>
  </si>
  <si>
    <t>Métallurgie des métaux non-ferreux - CCS/CCU</t>
  </si>
  <si>
    <t>Minéraux non-métalliques, matériaux de construction - CCS/CCU</t>
  </si>
  <si>
    <t>Papier, carton - CCS/CCU</t>
  </si>
  <si>
    <t>Autres industries manufacturières - CCS/CCU</t>
  </si>
  <si>
    <t>Hypothèses sectorielles</t>
  </si>
  <si>
    <t>Bilans d'énergie au format SDES</t>
  </si>
  <si>
    <t>Périmètre France Kyoto</t>
  </si>
  <si>
    <t>TWh</t>
  </si>
  <si>
    <t>Charbon</t>
  </si>
  <si>
    <t>Pétrole brut</t>
  </si>
  <si>
    <t>Produits pétroliers raffinés</t>
  </si>
  <si>
    <t>Carburants synthétiques</t>
  </si>
  <si>
    <t>Gaz naturel</t>
  </si>
  <si>
    <t>Gaz synthétique</t>
  </si>
  <si>
    <t>Nucléaire</t>
  </si>
  <si>
    <t>EnR électriques</t>
  </si>
  <si>
    <t>EnR thermiques et déchets</t>
  </si>
  <si>
    <t>Électricité</t>
  </si>
  <si>
    <t>Chaleur vendue</t>
  </si>
  <si>
    <t>Hydrogène</t>
  </si>
  <si>
    <t>Biomasse solide</t>
  </si>
  <si>
    <t>Biocarburants</t>
  </si>
  <si>
    <t>Gaz renouvelable</t>
  </si>
  <si>
    <t>Chaleur de l'environnement</t>
  </si>
  <si>
    <t>Solaire thermique et géothermie</t>
  </si>
  <si>
    <t>Production d'énergie primaire</t>
  </si>
  <si>
    <t>Importations</t>
  </si>
  <si>
    <t>Exportations</t>
  </si>
  <si>
    <t>Soutes maritimes internationales</t>
  </si>
  <si>
    <t>Soutes aériennes internationales</t>
  </si>
  <si>
    <t>Variations de stocks (+ = déstockage, - = stockage)</t>
  </si>
  <si>
    <t>Total approvisionnement / consommation primaire</t>
  </si>
  <si>
    <t>Écart statistique</t>
  </si>
  <si>
    <t>Production de chaleur</t>
  </si>
  <si>
    <t>Production de gaz renouvelable</t>
  </si>
  <si>
    <t>Production de gaz de synthèse</t>
  </si>
  <si>
    <t>Raffinage de pétrole</t>
  </si>
  <si>
    <t>Production de biocarburants</t>
  </si>
  <si>
    <t>Production d'e-fuels</t>
  </si>
  <si>
    <t>Production d'hydrogène</t>
  </si>
  <si>
    <t>Autres transformations, transferts</t>
  </si>
  <si>
    <t>Usages internes de la branche énergie</t>
  </si>
  <si>
    <t>Pertes de transport et de distribution</t>
  </si>
  <si>
    <t>Consommation nette de la branche énergie</t>
  </si>
  <si>
    <t>Résidentiel</t>
  </si>
  <si>
    <t>Tertiaire</t>
  </si>
  <si>
    <t>Puits technologiques</t>
  </si>
  <si>
    <t>Consommation finale énergétique</t>
  </si>
  <si>
    <t>Consommation finale non énergétique</t>
  </si>
  <si>
    <t>Consommation finale</t>
  </si>
  <si>
    <t/>
  </si>
  <si>
    <t>Périmètre France Métropolitaine</t>
  </si>
  <si>
    <t>Efficacité énergétique</t>
  </si>
  <si>
    <t xml:space="preserve">     Dont sidérurgie (hauts fourneaux)</t>
  </si>
  <si>
    <t xml:space="preserve">     Dont sidérurgie (arc électrique)</t>
  </si>
  <si>
    <t xml:space="preserve">     Dont sidérurgie (réduction directe)</t>
  </si>
  <si>
    <t xml:space="preserve">     Autre sidérurgie</t>
  </si>
  <si>
    <t xml:space="preserve">     Dont aluminium primaire</t>
  </si>
  <si>
    <t xml:space="preserve">     Dont aluminium recyclé</t>
  </si>
  <si>
    <t xml:space="preserve">     Dont autres métaux primaires</t>
  </si>
  <si>
    <t xml:space="preserve">     Dont Ammoniac</t>
  </si>
  <si>
    <t xml:space="preserve">     Dont pétrochimie de base</t>
  </si>
  <si>
    <t xml:space="preserve">     Dont autres chimies</t>
  </si>
  <si>
    <t xml:space="preserve">     Dont clinker</t>
  </si>
  <si>
    <t xml:space="preserve">     Dont verre</t>
  </si>
  <si>
    <t xml:space="preserve">     Dont autres non-métalliques</t>
  </si>
  <si>
    <t xml:space="preserve">     Dont sucre</t>
  </si>
  <si>
    <t xml:space="preserve">     Dont autres Industries alimentaires et agricoles</t>
  </si>
  <si>
    <t xml:space="preserve">     Dont papier-pâtes</t>
  </si>
  <si>
    <t xml:space="preserve">     Dont autres</t>
  </si>
  <si>
    <t>Non-métalliques</t>
  </si>
  <si>
    <t>Industrie agroalimentaire</t>
  </si>
  <si>
    <t>Equipement</t>
  </si>
  <si>
    <t>Autres</t>
  </si>
  <si>
    <t>Recyclage</t>
  </si>
  <si>
    <t xml:space="preserve">     Dont sidérurgie</t>
  </si>
  <si>
    <t xml:space="preserve">     Dont aluminium</t>
  </si>
  <si>
    <t xml:space="preserve">     Dont plastique</t>
  </si>
  <si>
    <t>Non-énergétique</t>
  </si>
  <si>
    <t>Mix énergétique</t>
  </si>
  <si>
    <t>Coke</t>
  </si>
  <si>
    <t>Gaz de réseau</t>
  </si>
  <si>
    <t>Biocarburants et gaz renouvelable</t>
  </si>
  <si>
    <t>Electricité</t>
  </si>
  <si>
    <t>Sidérurgie (hauts fourneaux)</t>
  </si>
  <si>
    <t>Sidérurgie (arc électrique)</t>
  </si>
  <si>
    <t>Sidérurgie (réduction directe)</t>
  </si>
  <si>
    <t>Sidérurgie (mise en forme de l'acier)</t>
  </si>
  <si>
    <t>Aluminium primaire</t>
  </si>
  <si>
    <t>Aluminium recyclé</t>
  </si>
  <si>
    <t>Dont sucre</t>
  </si>
  <si>
    <t>Papier-pâtes</t>
  </si>
  <si>
    <t>Aluminium</t>
  </si>
  <si>
    <t>Coke de pétrole</t>
  </si>
  <si>
    <t>Biocoke</t>
  </si>
  <si>
    <t>Anode inerte</t>
  </si>
  <si>
    <t>Hydrogène directe</t>
  </si>
  <si>
    <t>Gaz (vaporeformage)</t>
  </si>
  <si>
    <t>Pétrochimie</t>
  </si>
  <si>
    <t>Naphta</t>
  </si>
  <si>
    <t>Bonaphta</t>
  </si>
  <si>
    <t>Methanol to olefins</t>
  </si>
  <si>
    <t>Autres chimies</t>
  </si>
  <si>
    <t>Produits pétroliers</t>
  </si>
  <si>
    <t>Biofuel</t>
  </si>
  <si>
    <t>Biogaz</t>
  </si>
  <si>
    <t>Construction (bitume…)</t>
  </si>
  <si>
    <t>Pétrole</t>
  </si>
  <si>
    <t>Biopétrole</t>
  </si>
  <si>
    <t>Capture et stockage du carbone</t>
  </si>
  <si>
    <t>Métaux primaires (MtCO2)</t>
  </si>
  <si>
    <t>Part de CO2 biogénique (%)</t>
  </si>
  <si>
    <t>Part stockée (%)</t>
  </si>
  <si>
    <t>Part utilisée (%)</t>
  </si>
  <si>
    <t>Chimie (MtCO2)</t>
  </si>
  <si>
    <t>Non-métalliques (MtCO2)</t>
  </si>
  <si>
    <t>Industrie agroalimentaire (MtCO2)</t>
  </si>
  <si>
    <t>Autres (MtCO2)</t>
  </si>
  <si>
    <t>Total CO2 capté</t>
  </si>
  <si>
    <t>Dont CCS fossile</t>
  </si>
  <si>
    <t>Dont CCU fossile</t>
  </si>
  <si>
    <t>Dont BECCS</t>
  </si>
  <si>
    <t>Dont BECCU</t>
  </si>
  <si>
    <t>Biens d'équipements</t>
  </si>
  <si>
    <t>Métallurgie des métaux ferreux</t>
  </si>
  <si>
    <t>MtCO2e</t>
  </si>
  <si>
    <t>Périmètre Kyoto, SDES bilans d'énergie 2022,Projections DGEC</t>
  </si>
  <si>
    <t>Evolution des consommations d'énergie (TWh)</t>
  </si>
  <si>
    <t>Les émissions de gaz à effet de serre sont calculées par le CITEPA à partir des sorties sectorielles</t>
  </si>
  <si>
    <t>Energie</t>
  </si>
  <si>
    <t>Outre-mer</t>
  </si>
  <si>
    <t>Bilans</t>
  </si>
  <si>
    <t>Biomasse</t>
  </si>
  <si>
    <t>GES</t>
  </si>
  <si>
    <t>Bilan National du Recyclage 2012-2021 / Projections DGEC</t>
  </si>
  <si>
    <t>Source des données: Pepito</t>
  </si>
  <si>
    <t>2021</t>
  </si>
  <si>
    <t>2025</t>
  </si>
  <si>
    <t>2035</t>
  </si>
  <si>
    <t>2040</t>
  </si>
  <si>
    <t>2045</t>
  </si>
  <si>
    <t>Parc</t>
  </si>
  <si>
    <t>Véhicules particuliers</t>
  </si>
  <si>
    <t>Véhicules utilitaires légers</t>
  </si>
  <si>
    <t>Poids lourds</t>
  </si>
  <si>
    <t>Bus et car</t>
  </si>
  <si>
    <t>Parc de véhicules (millions)</t>
  </si>
  <si>
    <t>Immatriculations de véhicules (millions)</t>
  </si>
  <si>
    <t>Part de marché des vehicules particuliers neufs (%)</t>
  </si>
  <si>
    <t>Thermiques</t>
  </si>
  <si>
    <t>Essence</t>
  </si>
  <si>
    <t>Diesel</t>
  </si>
  <si>
    <t>Electrique</t>
  </si>
  <si>
    <t>Hybride rechargeable</t>
  </si>
  <si>
    <t>Véhicules neufs</t>
  </si>
  <si>
    <t>H2</t>
  </si>
  <si>
    <t>Part de marché des véhicules utilitaires légers neufs (%)</t>
  </si>
  <si>
    <t>Part de marché des poids lourds neufs (%)</t>
  </si>
  <si>
    <t>GNV</t>
  </si>
  <si>
    <t>Part de marché des bus et cars neufs (%)</t>
  </si>
  <si>
    <t>Gazole</t>
  </si>
  <si>
    <t>Parc roulant</t>
  </si>
  <si>
    <t>Parc roulant des véhicules particuliers (%)</t>
  </si>
  <si>
    <t>Parc roulant des véhicules utilitaires légers (%)</t>
  </si>
  <si>
    <t>Parc roulant des poids lourds (%)</t>
  </si>
  <si>
    <t>Hydrogene</t>
  </si>
  <si>
    <t>Parc roulant des bus et cars (%)</t>
  </si>
  <si>
    <t>L / 100 km</t>
  </si>
  <si>
    <t>Essence (L / 100 km)</t>
  </si>
  <si>
    <t>Diesel (L / 100 km)</t>
  </si>
  <si>
    <t xml:space="preserve">Consommation moyenne réelle du parc roulant de véhicules particuliers </t>
  </si>
  <si>
    <t>Régimes alimentaires</t>
  </si>
  <si>
    <t>gramme/personne/jour</t>
  </si>
  <si>
    <t>Légumes</t>
  </si>
  <si>
    <t>Fruits frais</t>
  </si>
  <si>
    <t>Noix, graines</t>
  </si>
  <si>
    <t>Pain et farine raffinés</t>
  </si>
  <si>
    <t>Pain et farine complets ou semi-complets</t>
  </si>
  <si>
    <t>Légumineuses</t>
  </si>
  <si>
    <t>Volaille</t>
  </si>
  <si>
    <t>Viande bovine</t>
  </si>
  <si>
    <t>Viande de porc</t>
  </si>
  <si>
    <t>Viande transformée</t>
  </si>
  <si>
    <t>Poissons gras</t>
  </si>
  <si>
    <t>Autres poissons</t>
  </si>
  <si>
    <t>Lait</t>
  </si>
  <si>
    <t>Fromage</t>
  </si>
  <si>
    <t>Œufs</t>
  </si>
  <si>
    <t>Sodas</t>
  </si>
  <si>
    <t>Jus de fruits</t>
  </si>
  <si>
    <t>Détail du régime optimisé flexitarien</t>
  </si>
  <si>
    <t>Le détail de ce régime est considéré comme fixe avec les années, c'est la proportion de français suivant ce régime qui évolue avec le temps.</t>
  </si>
  <si>
    <t>Détail du régime optimisé pescétarien</t>
  </si>
  <si>
    <t>Evolution de la population adoptant les différents régimes (%)</t>
  </si>
  <si>
    <t>Observé INCA 3</t>
  </si>
  <si>
    <t>Optimisé flexitarien</t>
  </si>
  <si>
    <t>Optimisé pescétarien</t>
  </si>
  <si>
    <t>Elevage</t>
  </si>
  <si>
    <t>Evolution des cheptels (milliers de têtes)</t>
  </si>
  <si>
    <t>(milliers de têtes)</t>
  </si>
  <si>
    <t>Vaches laitières</t>
  </si>
  <si>
    <t>Vaches allaitantes</t>
  </si>
  <si>
    <t>Autres bovins</t>
  </si>
  <si>
    <t>Truies</t>
  </si>
  <si>
    <t>Autres porcins</t>
  </si>
  <si>
    <t>Caprins</t>
  </si>
  <si>
    <t>Ovins</t>
  </si>
  <si>
    <t>Chevaux</t>
  </si>
  <si>
    <t>Mules et ânes</t>
  </si>
  <si>
    <t>Poules pondeuses</t>
  </si>
  <si>
    <t>Poulets de chair</t>
  </si>
  <si>
    <t>Autres volailles</t>
  </si>
  <si>
    <t>Lapines reproductrices</t>
  </si>
  <si>
    <t>Part des vaches laitières dont la matière azotée totale de la ration hivernale est supérieure à 14% (entre 15% et 18%)</t>
  </si>
  <si>
    <t>Part (%)</t>
  </si>
  <si>
    <t>Evolution de l'ajout de lipides dans la ration des bovins au bâtiment</t>
  </si>
  <si>
    <t>Part des bovins au bâtiment concernés par l'ajout de lipides dans la ration (hors veaux de boucherie)</t>
  </si>
  <si>
    <t>Evolution des matériels d’épandage pour le lisier</t>
  </si>
  <si>
    <t>Part des matériels (%)</t>
  </si>
  <si>
    <t>Buses</t>
  </si>
  <si>
    <t>Pendillards</t>
  </si>
  <si>
    <t>Injecteur</t>
  </si>
  <si>
    <t>Evolution des délais d’incorporation post-épandage pour le lisier</t>
  </si>
  <si>
    <t>Parts dans les intervalles (%)</t>
  </si>
  <si>
    <t>Dans les 4h</t>
  </si>
  <si>
    <t>Entre 4h et 12h</t>
  </si>
  <si>
    <t>Entre 12h et 24h</t>
  </si>
  <si>
    <t>&gt;24h</t>
  </si>
  <si>
    <t>non incorporé</t>
  </si>
  <si>
    <t>Evolution des délais d’incorporation post-épandage pour le fumier</t>
  </si>
  <si>
    <t>Evolution des surfaces de céréales (kha)</t>
  </si>
  <si>
    <t>kha</t>
  </si>
  <si>
    <t>Blé tendre d'hiver</t>
  </si>
  <si>
    <t>Blé tendre de printemps</t>
  </si>
  <si>
    <t>Blé dur d'hiver</t>
  </si>
  <si>
    <t>Blé dur de printemps</t>
  </si>
  <si>
    <t>Seigle et méteil</t>
  </si>
  <si>
    <t>Orge et escourgeon d'hiver</t>
  </si>
  <si>
    <t>Orge et escourgeon de printemps</t>
  </si>
  <si>
    <t>Avoine d'hiver</t>
  </si>
  <si>
    <t>Avoine de printemps</t>
  </si>
  <si>
    <t>Maïs (grain et semence)</t>
  </si>
  <si>
    <t>Sorgho</t>
  </si>
  <si>
    <t>Triticale</t>
  </si>
  <si>
    <t>Autres céréales non mélangées</t>
  </si>
  <si>
    <t>Mélanges de céréales (hors méteil)</t>
  </si>
  <si>
    <t>Riz</t>
  </si>
  <si>
    <t>Evolution des surfaces d'oléagineux (kha)</t>
  </si>
  <si>
    <t>Colza d'hiver (et navette)</t>
  </si>
  <si>
    <t>Colza de printemps (et navette)</t>
  </si>
  <si>
    <t>Tournesol</t>
  </si>
  <si>
    <t>Lin oléagineux</t>
  </si>
  <si>
    <t>Autres oléagineux</t>
  </si>
  <si>
    <t>Evolution des surfaces de protéagineux (kha)</t>
  </si>
  <si>
    <t>Féveroles et fèves</t>
  </si>
  <si>
    <t>Pois protéagineux</t>
  </si>
  <si>
    <t>Lupin doux</t>
  </si>
  <si>
    <t>Soja</t>
  </si>
  <si>
    <t>Mélange pois</t>
  </si>
  <si>
    <t>Autres protéagineux</t>
  </si>
  <si>
    <t>Evolution des surfaces des autres grandes cultures (kha)</t>
  </si>
  <si>
    <t>Choux, racines et tubercules fourragers</t>
  </si>
  <si>
    <t>Betteraves industrielles</t>
  </si>
  <si>
    <t>Pommes de terre</t>
  </si>
  <si>
    <t>Evolution des surfaces de fourrage (kha)</t>
  </si>
  <si>
    <t>Maïs fourrage et ensilage (plante entière)</t>
  </si>
  <si>
    <t>Autres fourrages</t>
  </si>
  <si>
    <t>Evolution des surfaces de prairies artificielles (kha)</t>
  </si>
  <si>
    <t>Surfaces de prairies artificielles</t>
  </si>
  <si>
    <t>Evolution des surfaces de prairies temporaires (kha)</t>
  </si>
  <si>
    <t>Surfaces de prairies temporaires</t>
  </si>
  <si>
    <t>Evolution des surfaces de prairies permanentes (kha)</t>
  </si>
  <si>
    <t>Les consommations d'énergie sont calculées à partir du modèle MOSUT, à partir des hypothèses sur le parc d'engins et sur la décarbonation des bâtiments agricoles.</t>
  </si>
  <si>
    <t>Cultures</t>
  </si>
  <si>
    <t>Engins, moteurs et chaudières</t>
  </si>
  <si>
    <t>-</t>
  </si>
  <si>
    <t>Consommation moyenne réelle des véhicules particuliers neufs</t>
  </si>
  <si>
    <t>Consommation moyenne réelle des véhicules utilitaires légers neufs</t>
  </si>
  <si>
    <t xml:space="preserve">Consommation moyenne réelle du parc roulant des véhicules utilitaires légers </t>
  </si>
  <si>
    <t>Véhicules électriques (kWh / 100 km)</t>
  </si>
  <si>
    <t>Thermique (l/100km)</t>
  </si>
  <si>
    <t>Electrique (kWh/100km)</t>
  </si>
  <si>
    <t>H2 (kg/100km)</t>
  </si>
  <si>
    <t>Diesel (L/100km)</t>
  </si>
  <si>
    <t>Gaz (kg/100km)</t>
  </si>
  <si>
    <t>Consommation moyenne réelle des poids lourds neufs</t>
  </si>
  <si>
    <t>Consommation moyenne réelle du parc roulant des poids lourds</t>
  </si>
  <si>
    <t>Trafic</t>
  </si>
  <si>
    <t>Voitures</t>
  </si>
  <si>
    <t>TC</t>
  </si>
  <si>
    <t xml:space="preserve">  dont ferrés</t>
  </si>
  <si>
    <t xml:space="preserve">  dont bus et cars</t>
  </si>
  <si>
    <t>Aérien</t>
  </si>
  <si>
    <t>2RM</t>
  </si>
  <si>
    <t>Vélo</t>
  </si>
  <si>
    <t>Mds passagers kilomètres</t>
  </si>
  <si>
    <t>Evolution des trafics voyageurs dans l'hexagone (Mds passagers kilomètre)</t>
  </si>
  <si>
    <t>Routier PL</t>
  </si>
  <si>
    <t>Fer</t>
  </si>
  <si>
    <t>Fluvial</t>
  </si>
  <si>
    <t>Ensemble (hors VUL)</t>
  </si>
  <si>
    <t>Evolution du trafic aérien (Mds passagers.km)</t>
  </si>
  <si>
    <t>Intérieur hexagone</t>
  </si>
  <si>
    <t>Hexagone-OM &amp; intra OM</t>
  </si>
  <si>
    <t>International France (1 sens)</t>
  </si>
  <si>
    <t>Total France (2 sens intérieur + 1 sens international)</t>
  </si>
  <si>
    <t xml:space="preserve">Biocarburants </t>
  </si>
  <si>
    <t xml:space="preserve">PtL </t>
  </si>
  <si>
    <t xml:space="preserve">H2 </t>
  </si>
  <si>
    <t>kérosène fossile</t>
  </si>
  <si>
    <t>Consommation des soutes aériennes internationales (TWh)</t>
  </si>
  <si>
    <t>PtL (e-fuel)</t>
  </si>
  <si>
    <t>Kérosène fossile</t>
  </si>
  <si>
    <t xml:space="preserve">Consommation totale </t>
  </si>
  <si>
    <t>Maritime</t>
  </si>
  <si>
    <t>% e-fuel</t>
  </si>
  <si>
    <t>% biocarburants</t>
  </si>
  <si>
    <t>Consommation des soutes maritimes internationales</t>
  </si>
  <si>
    <t>Transport routier</t>
  </si>
  <si>
    <t>Transport aérien domestique</t>
  </si>
  <si>
    <t>Transport fluvial et maritime domestique</t>
  </si>
  <si>
    <t>Dont véhicules particuliers</t>
  </si>
  <si>
    <t>Dont véhicules utilitaires légers</t>
  </si>
  <si>
    <t>Dont poids lourds</t>
  </si>
  <si>
    <t>Dont bus et car</t>
  </si>
  <si>
    <t>Dont deux roues</t>
  </si>
  <si>
    <t xml:space="preserve">Total </t>
  </si>
  <si>
    <t>Emissions de gaz à effet de serre (MtCO2e)</t>
  </si>
  <si>
    <t>Emissions de gaz à effet de serre des soutes internationales (MtCO2e)</t>
  </si>
  <si>
    <t>Transport aérien international</t>
  </si>
  <si>
    <t>Transport maritime international</t>
  </si>
  <si>
    <t>Transport fluvial international</t>
  </si>
  <si>
    <t>Production d'électricité (TWh)</t>
  </si>
  <si>
    <t>Eolien terrestre</t>
  </si>
  <si>
    <t>Eolien offshore</t>
  </si>
  <si>
    <t>PV</t>
  </si>
  <si>
    <t>Hydraulique</t>
  </si>
  <si>
    <t>Biomasse élec</t>
  </si>
  <si>
    <t>Nucléaire existant</t>
  </si>
  <si>
    <t>Nouveau nucléaire</t>
  </si>
  <si>
    <t>Fioul</t>
  </si>
  <si>
    <t>Gaz</t>
  </si>
  <si>
    <t>49.4</t>
  </si>
  <si>
    <t>62.5</t>
  </si>
  <si>
    <t>75.6</t>
  </si>
  <si>
    <t>88.6</t>
  </si>
  <si>
    <t>101.7</t>
  </si>
  <si>
    <t>114.8</t>
  </si>
  <si>
    <t>9.8</t>
  </si>
  <si>
    <t>29.6</t>
  </si>
  <si>
    <t>49.3</t>
  </si>
  <si>
    <t>69.0</t>
  </si>
  <si>
    <t>88.7</t>
  </si>
  <si>
    <t>108.4</t>
  </si>
  <si>
    <t>30.5</t>
  </si>
  <si>
    <t>47.7</t>
  </si>
  <si>
    <t>64.8</t>
  </si>
  <si>
    <t>82.0</t>
  </si>
  <si>
    <t>99.2</t>
  </si>
  <si>
    <t>116.3</t>
  </si>
  <si>
    <t>58.8</t>
  </si>
  <si>
    <t>8.4</t>
  </si>
  <si>
    <t>388.5</t>
  </si>
  <si>
    <t>382.8</t>
  </si>
  <si>
    <t>377.3</t>
  </si>
  <si>
    <t>363.7</t>
  </si>
  <si>
    <t>236.0</t>
  </si>
  <si>
    <t>105.2</t>
  </si>
  <si>
    <t>26.1</t>
  </si>
  <si>
    <t>78.2</t>
  </si>
  <si>
    <t>81.2</t>
  </si>
  <si>
    <t>1.7</t>
  </si>
  <si>
    <t>0 </t>
  </si>
  <si>
    <t>0.8</t>
  </si>
  <si>
    <t>30.0</t>
  </si>
  <si>
    <t>2.1</t>
  </si>
  <si>
    <t>39.5</t>
  </si>
  <si>
    <t>1.9</t>
  </si>
  <si>
    <t>19.2</t>
  </si>
  <si>
    <t>50.7</t>
  </si>
  <si>
    <t>10.0</t>
  </si>
  <si>
    <t>279.0</t>
  </si>
  <si>
    <t>6.6</t>
  </si>
  <si>
    <t>4.7</t>
  </si>
  <si>
    <t>44.1</t>
  </si>
  <si>
    <t>0.1</t>
  </si>
  <si>
    <t>0.0</t>
  </si>
  <si>
    <t>Périmètre Kyoto</t>
  </si>
  <si>
    <t>Produits charbonniers</t>
  </si>
  <si>
    <t>Autres EnR thermiques</t>
  </si>
  <si>
    <t>Cogénération</t>
  </si>
  <si>
    <t>Biomasse (électricité)</t>
  </si>
  <si>
    <t>Biomasse (chaleur)</t>
  </si>
  <si>
    <t>Biomasse (global)</t>
  </si>
  <si>
    <t>Déchets (électricité)</t>
  </si>
  <si>
    <t>Déchets (chaleur)</t>
  </si>
  <si>
    <t>Déchets (global)</t>
  </si>
  <si>
    <t>Rendements cogénération</t>
  </si>
  <si>
    <t>Solaire thermique</t>
  </si>
  <si>
    <t>9.2%</t>
  </si>
  <si>
    <t>8.4%</t>
  </si>
  <si>
    <t>Gaz pour production électrique</t>
  </si>
  <si>
    <t>Gaz pour production de chaleur</t>
  </si>
  <si>
    <t>Carburants aériens</t>
  </si>
  <si>
    <t>Dont biocarburants avancés</t>
  </si>
  <si>
    <t>Dont RFNBO</t>
  </si>
  <si>
    <t>10.5%</t>
  </si>
  <si>
    <t>9.4%</t>
  </si>
  <si>
    <t>RFNBO = Carburants renouvelables d’origine non biologiques (e-fuels)</t>
  </si>
  <si>
    <t>0.4</t>
  </si>
  <si>
    <t>5.8</t>
  </si>
  <si>
    <t>18.7</t>
  </si>
  <si>
    <t>0.7</t>
  </si>
  <si>
    <t>9.1</t>
  </si>
  <si>
    <t>29.4</t>
  </si>
  <si>
    <t>5.4</t>
  </si>
  <si>
    <t>Pyrogazéification</t>
  </si>
  <si>
    <t>Cadrage</t>
  </si>
  <si>
    <t xml:space="preserve">France </t>
  </si>
  <si>
    <t>Dont hexagone</t>
  </si>
  <si>
    <t>Dont DROM</t>
  </si>
  <si>
    <t>Population (millions)</t>
  </si>
  <si>
    <t>Evolution de la population (millions)</t>
  </si>
  <si>
    <t>PIB</t>
  </si>
  <si>
    <t xml:space="preserve">Les hypothèses relatives à la croissance du PIB ont été reprises du cadrage fourni par la Commission Européenne. </t>
  </si>
  <si>
    <t>Prix des énergies</t>
  </si>
  <si>
    <t>Ces prix font partie des hypothèses fixées dans le cadre du cadrage de la Commission européenne. Elles sont intégrées en projection en même temps que les taxes sur l’énergie dans le cadre des modélisations transport et bâtiment.</t>
  </si>
  <si>
    <t xml:space="preserve">Charbon </t>
  </si>
  <si>
    <t>Evolution du PIB (index 2018)</t>
  </si>
  <si>
    <t>PIB réel</t>
  </si>
  <si>
    <t>Services</t>
  </si>
  <si>
    <t>Industrie et énergie</t>
  </si>
  <si>
    <t>Part dans le PIB</t>
  </si>
  <si>
    <t>Part dans le PIB (%)</t>
  </si>
  <si>
    <t>Prix de l'électricité</t>
  </si>
  <si>
    <t>Prix TTC</t>
  </si>
  <si>
    <t>€/MWh</t>
  </si>
  <si>
    <t>Ressource primaire et connexes</t>
  </si>
  <si>
    <t>Déchets de bois en fin de vie</t>
  </si>
  <si>
    <t>Dérivés de l'industrie du bois (boues de papeterie, liqueur noire, etc.)</t>
  </si>
  <si>
    <t>Bois hors forêt (haies et agroforesterie)</t>
  </si>
  <si>
    <t>Résidus de culture</t>
  </si>
  <si>
    <t>Herbe et cultures fourragères</t>
  </si>
  <si>
    <t>Cultures dédiées</t>
  </si>
  <si>
    <t>Cultures intermédiaires</t>
  </si>
  <si>
    <t>Cultures lignocellulosiques</t>
  </si>
  <si>
    <t>Effluents d'élevage</t>
  </si>
  <si>
    <t>STEP</t>
  </si>
  <si>
    <t>Décharges</t>
  </si>
  <si>
    <t>Déchets lipidiques</t>
  </si>
  <si>
    <t>Déchets alimentaires</t>
  </si>
  <si>
    <t>Autres déchets industriels</t>
  </si>
  <si>
    <t>Algues</t>
  </si>
  <si>
    <t>Total Bois forêt - connexes - déchets</t>
  </si>
  <si>
    <t>Total biomasse agricole</t>
  </si>
  <si>
    <t>Total Déchets</t>
  </si>
  <si>
    <t xml:space="preserve">Total biomasse  </t>
  </si>
  <si>
    <t>Ressources finales (TWhEf)</t>
  </si>
  <si>
    <t>Offre-demande d'énergie</t>
  </si>
  <si>
    <t>Evolution des consommations de biomasse solide</t>
  </si>
  <si>
    <t>Transports (hors soutes)</t>
  </si>
  <si>
    <t>Réseaux de chaleur</t>
  </si>
  <si>
    <t>Soutes internationales</t>
  </si>
  <si>
    <t>Industrie - non-énergétique</t>
  </si>
  <si>
    <t>Total demande</t>
  </si>
  <si>
    <t>Total offre</t>
  </si>
  <si>
    <t>Ecart offre-demande</t>
  </si>
  <si>
    <t>TWhEf</t>
  </si>
  <si>
    <t>Evolution des consommations de biomasse liquide</t>
  </si>
  <si>
    <t>Evolution des consommations de biomasse gazeuse</t>
  </si>
  <si>
    <t>Evolution des consommations d'électricité</t>
  </si>
  <si>
    <t>Production de H2</t>
  </si>
  <si>
    <t>Usages internes</t>
  </si>
  <si>
    <t>Consommation d'électricité, hors pertes</t>
  </si>
  <si>
    <t>Pertes estimées</t>
  </si>
  <si>
    <t>Consommation totale d'électricité</t>
  </si>
  <si>
    <t>Chaleur</t>
  </si>
  <si>
    <t>Total, hors pertes, réseau de chaleur</t>
  </si>
  <si>
    <t>Total, hors pertes, hors réseau de chaleur</t>
  </si>
  <si>
    <t>Total chaleur réseau, pertes incluses</t>
  </si>
  <si>
    <t>Total chaleur, pertes incluses</t>
  </si>
  <si>
    <t>La production est calée sur les besoins pour le secteur aérien en e-kérosène (fabriqué à partir de CO2 et d’hydrogène). Les co-produits de e-kerosène viennent en partie alimenter le secteur maritime en e-diesel, et une partie est exportée.</t>
  </si>
  <si>
    <t>Consommation d'électricité</t>
  </si>
  <si>
    <t>Evolution de l'équilibre offre-demande électricité</t>
  </si>
  <si>
    <t>Consommation de charbon</t>
  </si>
  <si>
    <t>Production primaire de charbon</t>
  </si>
  <si>
    <t>Evolution de l'équilibre offre-demande charbon</t>
  </si>
  <si>
    <t>Consommation de pétrole brut</t>
  </si>
  <si>
    <t>Production primaire de pétrole brut</t>
  </si>
  <si>
    <t>Transferts de pétrole brut</t>
  </si>
  <si>
    <t>Consommation de produits pétroliers</t>
  </si>
  <si>
    <t>Production de produits pétroliers</t>
  </si>
  <si>
    <t>Evolution de l'équilibre offre-demande de produits pétroliers</t>
  </si>
  <si>
    <t>Carburants de synthèse</t>
  </si>
  <si>
    <t>Production de carburants de synthèse</t>
  </si>
  <si>
    <t>Consommation de carburants de synthèse</t>
  </si>
  <si>
    <t>Evolution de l'équilibre offre-demande de pétrole brut</t>
  </si>
  <si>
    <t>Parc de logements / residentiel</t>
  </si>
  <si>
    <t xml:space="preserve">Hypothèses sur le parc résidentiel </t>
  </si>
  <si>
    <t>Hypothèse</t>
  </si>
  <si>
    <t>2020</t>
  </si>
  <si>
    <t>Population totale (Mhab hexagone)</t>
  </si>
  <si>
    <t>Personnes par logement</t>
  </si>
  <si>
    <t>Part de maisons individuelles dans la construction neuve (%)</t>
  </si>
  <si>
    <t>Taille moyenne des maisons individuelles (surface habitable en m2)</t>
  </si>
  <si>
    <t>Taille moyenne des logements collectifs (surface habitable en m2)</t>
  </si>
  <si>
    <t>Nombre de logements créés à partir de surfaces tertiaires existantes (milliers)</t>
  </si>
  <si>
    <t>Part de résidences secondaires sur parc total (%)</t>
  </si>
  <si>
    <t>Taux de vacance des logements (%)</t>
  </si>
  <si>
    <t xml:space="preserve">Construction neuve pour le parc résidentiel </t>
  </si>
  <si>
    <t>2015-2020</t>
  </si>
  <si>
    <t>2020-2030</t>
  </si>
  <si>
    <t>/</t>
  </si>
  <si>
    <t>2030-2040</t>
  </si>
  <si>
    <t xml:space="preserve"> </t>
  </si>
  <si>
    <t>2040-2050</t>
  </si>
  <si>
    <t>Construction neuve cumulée sur la période</t>
  </si>
  <si>
    <t>1 759 951</t>
  </si>
  <si>
    <t>3 852 062</t>
  </si>
  <si>
    <t>2 739 677</t>
  </si>
  <si>
    <t>1 182 763</t>
  </si>
  <si>
    <t>2 045 474</t>
  </si>
  <si>
    <t>1 282 174</t>
  </si>
  <si>
    <t>1 125 011</t>
  </si>
  <si>
    <t>70 064</t>
  </si>
  <si>
    <t>Evolution du parc tertiaire (milliers de m2)</t>
  </si>
  <si>
    <t>milliers de m2</t>
  </si>
  <si>
    <t>Bureaux Administration</t>
  </si>
  <si>
    <t>Café Hôtel Restaurant</t>
  </si>
  <si>
    <t>Commerce</t>
  </si>
  <si>
    <t>Enseignement Recherche</t>
  </si>
  <si>
    <t>Santé Action Sociale</t>
  </si>
  <si>
    <t>Sport Loisir Culture</t>
  </si>
  <si>
    <t>Constuction neuve pour le parc tertiaire (milliers de m2) post 2020</t>
  </si>
  <si>
    <t>Total sur la période (10 ans)</t>
  </si>
  <si>
    <t>Chauffage</t>
  </si>
  <si>
    <t xml:space="preserve">Les consommations énergétiques pour le chauffage sont estimées avec le modèle Res IRF, développé par le CIRED . Celui-ci vise à décrire l’effet des politiques d’efficacité énergétique sur la dynamique de rénovation énergétique. Le modèle intègre un certain nombre de barrières à l’efficacité énergétique, comme l’effet rebond, les contraintes de crédit, le dilemme propriétaire-locataire et les coûts cachés de la rénovation. Il se concentre actuellement sur les consommations d’énergie (électricité, gaz naturel, fioul domestique, bois-énergie) pour le chauffage.  
Le modèle tertiaire Vivaldi de l’ADEME a été utilisé pour calculer l’évolution des consommations de chauffage des bâtiments tertiaires. Ce modèle donne une représentation technique du parc de bâtiments pour chaque branche et modélise l’évolution des intensités de consommation (en kWh/m²/an). Ces intensités évoluent en fonction d’hypothèses sur le mix énergétique et sur le respect du décret tertiaire. Elles permettent ensuite de calculer une consommation finale du parc tertiaire. Cette méthodologie de modélisation basée sur les intensités de consommation (en kWh/m²/an), elles-mêmes conditionnées au respect du décret tertiaire, permet de prendre en compte implicitement les effets du réchauffement climatique, de la sobriété et d’un potentiel effet rebond sur la consommation finale du secteur. </t>
  </si>
  <si>
    <t>Nombre de degrés-jour (index 2020)</t>
  </si>
  <si>
    <t>sans unité</t>
  </si>
  <si>
    <t>Evolution de la consommation de chauffage</t>
  </si>
  <si>
    <t>Nombre de rénovations énergétiques performantes (milliers par an) pour le parc résidentiel</t>
  </si>
  <si>
    <t>Moyenne annuelle</t>
  </si>
  <si>
    <t>2020-2025</t>
  </si>
  <si>
    <t>2025-2030</t>
  </si>
  <si>
    <t>2030-2035</t>
  </si>
  <si>
    <t>2035-2040</t>
  </si>
  <si>
    <t>2040-2045</t>
  </si>
  <si>
    <t>2045-2050</t>
  </si>
  <si>
    <t>Nombre de rénovations performantes (en milliers/an)</t>
  </si>
  <si>
    <t>Consommation énergétique de chauffage du parc résidentiel avant recalibration sur les données historiques (TWh EF/an)</t>
  </si>
  <si>
    <t>TWh EF/an</t>
  </si>
  <si>
    <t>Dont électricité joule</t>
  </si>
  <si>
    <t>Dont électricité Pompe à Chaleur</t>
  </si>
  <si>
    <t>Bois</t>
  </si>
  <si>
    <t>Réseau de chaleur</t>
  </si>
  <si>
    <t>Consommation énergétique de chauffage du parc tertiaire avant recalibration sur les données historiques (TWh EF/an)</t>
  </si>
  <si>
    <t>Eau chaude sanitaire</t>
  </si>
  <si>
    <t>Consommation d’eau chaude sanitaire dans le résidentiel, avant recalibration sur les données historiques</t>
  </si>
  <si>
    <t>ECS (kWh/hab/an)</t>
  </si>
  <si>
    <t>Consommation (TWh énergie finale)</t>
  </si>
  <si>
    <t>Part d'électricité</t>
  </si>
  <si>
    <t>Part de réseau de chaleur</t>
  </si>
  <si>
    <t>Part de pétrole/GPL</t>
  </si>
  <si>
    <t>Part de gaz naturel</t>
  </si>
  <si>
    <t>Part de biomasse solide</t>
  </si>
  <si>
    <t>Part de renouvelables thermiques</t>
  </si>
  <si>
    <t>Consommation d’eau chaude sanitaire dans le tertiaire, avant recalibration sur les données historiques</t>
  </si>
  <si>
    <t>ECS (kWh/m²) – hors DEET</t>
  </si>
  <si>
    <t>ECS (kWh/m²) – suivant DEET</t>
  </si>
  <si>
    <t>Surface tertiaire (Mm²)</t>
  </si>
  <si>
    <t>Part d'électricité (pompes à chaleur incluses)</t>
  </si>
  <si>
    <t>Cuisson</t>
  </si>
  <si>
    <t>Consommation d’énergie pour la cuisson dans le résidentiel, avant recalibration sur les données historiques</t>
  </si>
  <si>
    <t>Cuisson (kWh/hab/an)</t>
  </si>
  <si>
    <t>Consommation d’énergie pour la cuisson dans le tertiaire, avant recalibration sur les données historiques</t>
  </si>
  <si>
    <t>Cuisson (kWh/m²) – hors DEET</t>
  </si>
  <si>
    <t>Cuisson (kWh/m²) – suivant DEET</t>
  </si>
  <si>
    <t>Electricité spécifique</t>
  </si>
  <si>
    <t>Consommation d’électricité spécifique dans le résidentiel</t>
  </si>
  <si>
    <t>Electricité spécifique (kWh/hab/an)</t>
  </si>
  <si>
    <t>Consommation d’électricité spécifique dans le tertiaire</t>
  </si>
  <si>
    <t>Elec spé (kWh/m²) – hors DEET</t>
  </si>
  <si>
    <t>Elec spé (kWh/m²) – suivant DEET</t>
  </si>
  <si>
    <t>Climatisation</t>
  </si>
  <si>
    <t>Consommation de climatisation dans le résidentiel (TWh)</t>
  </si>
  <si>
    <t>TWh par zone climatique</t>
  </si>
  <si>
    <t>H1A</t>
  </si>
  <si>
    <t>H1B</t>
  </si>
  <si>
    <t>H1C</t>
  </si>
  <si>
    <t>H2A</t>
  </si>
  <si>
    <t>H2B</t>
  </si>
  <si>
    <t>H2C</t>
  </si>
  <si>
    <t>H2D</t>
  </si>
  <si>
    <t>H3</t>
  </si>
  <si>
    <t>Martinique</t>
  </si>
  <si>
    <t>Guadeloupe</t>
  </si>
  <si>
    <t>Guyane</t>
  </si>
  <si>
    <t>Mayotte</t>
  </si>
  <si>
    <t>La Réunion</t>
  </si>
  <si>
    <t>Consommation de climatisation dans le tertiaire (TWh)</t>
  </si>
  <si>
    <t>Gaz réseau</t>
  </si>
  <si>
    <t xml:space="preserve">  dont gaz réseau fossile</t>
  </si>
  <si>
    <t xml:space="preserve">  dont gaz réseau renouvelable et synthétique</t>
  </si>
  <si>
    <t>Périmètre Kyoto, SDES bilans d'énergie 2022, Projections DGEC</t>
  </si>
  <si>
    <t xml:space="preserve">  dont gaz réseau renouvelable</t>
  </si>
  <si>
    <t>Usage des bâtiments résidentiels et activités domestiques</t>
  </si>
  <si>
    <t>Usage des bâtiments tertiaires et activités tertiaires</t>
  </si>
  <si>
    <t>Quantité de déchets</t>
  </si>
  <si>
    <t>Evolution de la quantité des déchets ménagers et assimilation par filière de traitement (Mt)</t>
  </si>
  <si>
    <t>Total DNDNI</t>
  </si>
  <si>
    <t>Méthanisation (hors méthanisation à la ferme)</t>
  </si>
  <si>
    <t>Incinération avec valorisation</t>
  </si>
  <si>
    <t>Incinération sans récupération d’énergie</t>
  </si>
  <si>
    <t>Stockage en ISDND</t>
  </si>
  <si>
    <t>Valorisation matière</t>
  </si>
  <si>
    <t>Evolution de la quantité des autres déchets (Mt)</t>
  </si>
  <si>
    <t>Déchets industriels spéciaux incinérés</t>
  </si>
  <si>
    <t>Déchets hospitaliers incinérés</t>
  </si>
  <si>
    <t>Déchets verts brûlés par les ménages</t>
  </si>
  <si>
    <t>Incendies de véhicules</t>
  </si>
  <si>
    <t>Captage et valorisation du biogaz issu des installations de stockage (%)</t>
  </si>
  <si>
    <t>(%)</t>
  </si>
  <si>
    <t>Taux de captage</t>
  </si>
  <si>
    <t>Valorisation du biogaz capté</t>
  </si>
  <si>
    <t>Déchets verts</t>
  </si>
  <si>
    <t>Papier / carton</t>
  </si>
  <si>
    <t>Textile</t>
  </si>
  <si>
    <t>Couches</t>
  </si>
  <si>
    <t>Déchets inertes</t>
  </si>
  <si>
    <t>Enquêtes ADEME, INSEE, feuille de route Fnade, projections DGEC et CITEPA</t>
  </si>
  <si>
    <t>Eaux usées</t>
  </si>
  <si>
    <t>Ce secteur concerne le traitement et le rejet des eaux domestiques et industrielles et le traitement des boues associées par méthanisation.
Les émissions du secteur dépendent des niveaux d’activités (Azote, DBO5/DCO) et du type de filière de traitement (en fonction des conditions d’anaérobie associées au système).
Le niveau d’activité lié au traitement des eaux domestiques est indexé sur la croissance de la population telle que prévue dans les hypothèses macro-économiques. Le niveau d’activité lié au traitement des eaux industrielles est considéré comme constant.</t>
  </si>
  <si>
    <t>Consommation de protéine en quantité (g/personne/jour)</t>
  </si>
  <si>
    <t>(g/personne/jour)</t>
  </si>
  <si>
    <t>Consommation de protéine en quantité aux horizons 2030 et 2050</t>
  </si>
  <si>
    <t>Rapport de l’ADEME « Contribution de l’ADEME à l’élaboration de visions énergétiques 2030 - 2050 »</t>
  </si>
  <si>
    <t>Emissions du secteur des déchets (MtCO2e)</t>
  </si>
  <si>
    <t>Batiments</t>
  </si>
  <si>
    <t>Les onglets résultats indiquent les principaux résultats du scénario sur la consommation d'énergie et les émissions de GES.
Il peut exister des différences entre les résultats de consommation d'énergie compilées dans les bilans d'énergie et les consommations d'énergie en sortie de chaque modèle sectoriel. En effet, des corrections statistiques sont réalisées sur les années de référence historiques à partir des bilans fournis par le SDES (service statistique du Ministère), publiés annuellement et faisant foi.</t>
  </si>
  <si>
    <t>Données historiques</t>
  </si>
  <si>
    <t>La production de chaleur est considérée égale à la demande issue des modélisations des différents secteurs.</t>
  </si>
  <si>
    <t>Périmètre Continental</t>
  </si>
  <si>
    <t>Mix énergétique de la chaleur vendue dans les réseaux de chaleur et de froid (%)</t>
  </si>
  <si>
    <t>Mix énergétique de la chaleur vendue hors des réseaux de chaleur et de froid (%)</t>
  </si>
  <si>
    <t xml:space="preserve">Les hypothèses de production d'électricité se basent sur les rythmes d'installation suivants : 
• Eolien offshore : Tendanciel au rythme d'1 GW/an
• Eolien terrestre : Tendanciel du rythme de développement des 3 dernières années à 1,3 GW/an
• Photovoltaïque : Tendanciel du rythme de développement des 3 dernières années à 2,8 GW/an
• Hydraulique : Gardé constant 2023 (valeur bilan électrique 2023 RTE)
• Biomasse électrique : Gardé constant 2023 (valeur bilan électrique 2023 RTE).
• Déchets : Gardé constant 2023 (valeur bilan électrique 2023 RTE)
• Nucléaire existant : la fermeture de Fessenheim et la mise en service de l'EPR de Flamanville en 2024 (avec une première année de production complète en 2025) sont intégrées. Pour les réacteurs existants, l’hypothèse est faite d’une poursuite du fonctionnement jusqu'à 60 ans et de deux fermetures à la visite décennale n°5 d'ici 2035 et deux autres fermetures supplémentaires entre 2035 et 2040. Pas d'upgrading.
• Nouveau nucléaire : Construction de 6 réacteurs EPR2 pour une capacité de 9,9 GW ; Déploiement de petits réacteurs modulaires (SMR) et innovants (AMR) pour 1 GW de capacités installées en 2050
• Fioul : Gardé constant 2023 (valeur bilan électrique 2023 RTE) jusqu'à sortie du fioul en 2030
• Charbon : Gardé constant 2023 (valeur bilan électrique 2023 RTE) jusqu'à sortie du charbon en 2027
• Gaz : Gardé constant 2023 (valeur bilan électrique 2023 RTE)
</t>
  </si>
  <si>
    <t>dont carburant synthérique essence</t>
  </si>
  <si>
    <t>dont carburant synthétique diesel</t>
  </si>
  <si>
    <t>dont carburant synthétique kérosène</t>
  </si>
  <si>
    <t>dont carburant synthétique naphta</t>
  </si>
  <si>
    <t>Mix de production H2</t>
  </si>
  <si>
    <t>Vaporéformage de méthane</t>
  </si>
  <si>
    <t>Electrolyse</t>
  </si>
  <si>
    <t>Production de biocombustibles</t>
  </si>
  <si>
    <t>Consommation de biocombustibles et de carburants de synthèse</t>
  </si>
  <si>
    <t>Production d'H2</t>
  </si>
  <si>
    <t>Les hypothèses de taux d'incorporation de biocarburants ou carburants de synthèse et de biogaz dans le réseau permettent de déduire les consommations de biocombustibles et carburants de synthèse à partir des consommations de carburants et gaz réseau.</t>
  </si>
  <si>
    <t xml:space="preserve">Production de biomasse solide par ressource primaire </t>
  </si>
  <si>
    <t>Production de biocarburants par ressource primaire</t>
  </si>
  <si>
    <t>Les hypothèses de production de biomasse solide, biocarburants et biogaz sont issues des hypothèses de ressources primaires disponibles modélisées dans les secteurs de l'agriculture, des forêts et des déchets, ainsi que d'hypothèses sur les filières de valorisation et les rendements.</t>
  </si>
  <si>
    <t>Ressources primaires totales</t>
  </si>
  <si>
    <t>Ressources primaires (TWhEp)</t>
  </si>
  <si>
    <t>Production de biogaz par ressource primaire</t>
  </si>
  <si>
    <t>Part de chaleur cogénérée dans les réseau de chaleur</t>
  </si>
  <si>
    <t>Part de chaleur cogénérée hors des réseaux de chaleur</t>
  </si>
  <si>
    <t>Les hypothèses relatives à la croissance de la population sont issues de l'INSEE.</t>
  </si>
  <si>
    <t>Les niveaux de production sont exprimés en quantités physiques (Mt) pour les IGCE (Industries grandes consommatrices d'énergie) à partir des niveaux de consommations issus de chaque secteur et d'hypothèses sur l'évolution des balances commerciales, et en valeur ajoutée (VA en €) pour les industries diffuses reprises de données de cadrage de la Commission européenne et de facteurs de décorrélation pour traduire la montée en gamme et l’innovation technologique.</t>
  </si>
  <si>
    <t>Mix de consommation de combustibles à usages non-énergétiques dans l'industrie (%)</t>
  </si>
  <si>
    <t>Capture et stockage par filière (MtCO2), part de CO2 capté biogénique (%), part stockée et part utilisée (%)</t>
  </si>
  <si>
    <t>Millions de véhicules</t>
  </si>
  <si>
    <t>A partir de 2035, plus de vente de véhicules particuliers neufs thermiques</t>
  </si>
  <si>
    <t>Consommations</t>
  </si>
  <si>
    <t>Evolution des trafics marchandises dans l'hexagone (Mds tonnes kilomètre)</t>
  </si>
  <si>
    <t>Mds tonnes kilomètres</t>
  </si>
  <si>
    <t xml:space="preserve">Concernant le développement des carburants durables, le règlement Refuel Aviation adopté en 2023 est pris en compte dans son intégralité. La trajectoire d’incorporation des carburants durables croît ainsi à 6% en 2030, 20% en 2035 et 70% en 2050.
</t>
  </si>
  <si>
    <t>Mix énergétique dans l'aérien (%)</t>
  </si>
  <si>
    <t>Les hypothèses relatives à l’impact du changement climatique (scénario correspondant au RCP2.6, soit une augmentation de température de l’ordre de 2°C à la fin du siècle) sur le besoin de chauffage et de climatisation ont été modélisées en modifiant annuellement les besoins selon ces taux annuels moyens  (calcul DGEC à partir de scénarios climatiques MétéoFrance)</t>
  </si>
  <si>
    <t xml:space="preserve">Pour le résidentiel, l’évolution de la population est utilisée comme proxy pour évaluer la consommation énergétique du hors-chauffage, à partir des valeurs estimées de consommation par habitant.
Pour le tertiaire, c’est l’évolution de la surface totale qui est utilisée comme proxy pour évaluer la consommation énergétique du hors-chauffage ainsi que les trajectoires d’économies d’énergie retenues pour le décret tertiaire. En effet, on considère d’une part les bâtiments qui ne respectent pas le décret tertiaire : dans ce cas, l’intensité de consommation en kWh/m²/an reste constante dans le temps et la consommation finale évolue car indexée sur l’évolution de la surface totale. D’autre part, on considère les bâtiments qui respectent le décret tertiaire : dans ce cas, on applique les gains énergétiques présentés ci-dessus aux consommations par m² et on indexe également sur l’évolution de la surface totale pour obtenir la consommation finale. En sommant ces deux valeurs, on obtient la consommation finale totale des bâtiments tertiaires pour les usages hors chauffage. </t>
  </si>
  <si>
    <t>Evolution des consommations d'énergie totales du secteur résidentiel (TWh Ef/an)</t>
  </si>
  <si>
    <t>Evolution des consommations d'énergie totales du secteur tertiaire (TWh Ef/an)</t>
  </si>
  <si>
    <t>Consommations de chaleur</t>
  </si>
  <si>
    <t>Chaleur fatale</t>
  </si>
  <si>
    <t>Explication des onglets</t>
  </si>
  <si>
    <t>Précisions</t>
  </si>
  <si>
    <t>Périmètres</t>
  </si>
  <si>
    <t>Composition des déchets stockés (%)</t>
  </si>
  <si>
    <t>Proportion du parc qui applique la trajectoire décret tertiaire</t>
  </si>
  <si>
    <t>Bureaux</t>
  </si>
  <si>
    <t>Commerces</t>
  </si>
  <si>
    <t>Santé</t>
  </si>
  <si>
    <t>Cahore</t>
  </si>
  <si>
    <t>Sport, Loisir, Culture</t>
  </si>
  <si>
    <t>Enseignement</t>
  </si>
  <si>
    <t>Habitat communautaire</t>
  </si>
  <si>
    <t>Bâtiment de transport</t>
  </si>
  <si>
    <t>Part de la population raccordée à une STEP</t>
  </si>
  <si>
    <t>Part de la population raccordée un traitement autonome</t>
  </si>
  <si>
    <t>Part de la population sans traitement</t>
  </si>
  <si>
    <t>Installations de stockage</t>
  </si>
  <si>
    <t>Emissions de gaz à effet de serre des secteurs résidentiel et tertiaire</t>
  </si>
  <si>
    <t>Autres métaux primaires</t>
  </si>
  <si>
    <t>Pétrochimie de base</t>
  </si>
  <si>
    <t>Ciment</t>
  </si>
  <si>
    <t>Autres non-métalliques</t>
  </si>
  <si>
    <t>Autres IAA</t>
  </si>
  <si>
    <t>Evolution de l'efficacité énergétique des différentes filières (base 2021)</t>
  </si>
  <si>
    <t>L'efficacité énergétique décrit les économies d'énergie des procédés industriels, toutes choses égales par ailleurs. Un niveau de 90% en 2030 indique que le secteur a réduit ses consommations énergétiques par tonne de production de 10% par rapport à 2020.</t>
  </si>
  <si>
    <t>Evolution du parc roulant d'engins agricoles</t>
  </si>
  <si>
    <t>Nombre d'engins dans le parc roulant</t>
  </si>
  <si>
    <t>Parc roulant par type de motorisation (%)</t>
  </si>
  <si>
    <t>Part de marché des ventes par type de motorisation (%)</t>
  </si>
  <si>
    <t>Evolution du nombre de km annuels par engins (Base 2022)</t>
  </si>
  <si>
    <t>Evolution de la consommation d'énergie des serres (kWh/m^2)</t>
  </si>
  <si>
    <t>Serre chaude en maraîchage</t>
  </si>
  <si>
    <t>Serre chaude en horticulture</t>
  </si>
  <si>
    <t xml:space="preserve">Truie </t>
  </si>
  <si>
    <t>Porc engraissement</t>
  </si>
  <si>
    <t>Volailles pondeuses</t>
  </si>
  <si>
    <t xml:space="preserve">Veaux de boucherie </t>
  </si>
  <si>
    <t>Volailles chair (kWh/kg vif)</t>
  </si>
  <si>
    <t>Soutes maritimes internationales  (TWh)</t>
  </si>
  <si>
    <t>Parc assujetti</t>
  </si>
  <si>
    <t>Ensemble du parc</t>
  </si>
  <si>
    <t>Taux d'équipements en climatiseurs par zone climatique dans le résidentiel</t>
  </si>
  <si>
    <t>Taux d'équipements en climatiseurs dans le tertiaire</t>
  </si>
  <si>
    <t>Hypothèse de répartition privé / public dans le tertiaire</t>
  </si>
  <si>
    <t>Part de la surface privée (%)</t>
  </si>
  <si>
    <t>Evolution de la surface par employé dans les bureaux et administrations (m^2/employé)</t>
  </si>
  <si>
    <t>m^2/employé</t>
  </si>
  <si>
    <t>Evolution de la mortalité et de l'accroissement (MtCO2)</t>
  </si>
  <si>
    <t>Mortalité</t>
  </si>
  <si>
    <t>Accroissement</t>
  </si>
  <si>
    <t>Evolution de la récolte (Mm^3)</t>
  </si>
  <si>
    <t>Evolution des prélèvements (MtCO2)</t>
  </si>
  <si>
    <t>Mm^3</t>
  </si>
  <si>
    <t>Accrus naturels</t>
  </si>
  <si>
    <t>kha/an</t>
  </si>
  <si>
    <t>Part de la récolte (%)</t>
  </si>
  <si>
    <t>dont sciages</t>
  </si>
  <si>
    <t>Emballages en bois</t>
  </si>
  <si>
    <t>Ameublement</t>
  </si>
  <si>
    <t>Agencement et menuiseries</t>
  </si>
  <si>
    <t>Couverture / charpente</t>
  </si>
  <si>
    <t>Parquets/lambris</t>
  </si>
  <si>
    <t>panneaux et isolants</t>
  </si>
  <si>
    <t>contreplaqués</t>
  </si>
  <si>
    <t>Sciages</t>
  </si>
  <si>
    <t>Panneaux</t>
  </si>
  <si>
    <t>Contreplaqués</t>
  </si>
  <si>
    <t>Papier</t>
  </si>
  <si>
    <t>Bois mort</t>
  </si>
  <si>
    <t>Hypothèses de demi-vie des produits bois (années)</t>
  </si>
  <si>
    <t>Destination des déchets bois (%)</t>
  </si>
  <si>
    <t>Matière</t>
  </si>
  <si>
    <t>Enfouissement</t>
  </si>
  <si>
    <t>Séquestration dans les sols forestiers et le bois mort (MtCO2)</t>
  </si>
  <si>
    <t>Sols forestiers</t>
  </si>
  <si>
    <t>Autres utilisations des terres</t>
  </si>
  <si>
    <t>Prairies totales</t>
  </si>
  <si>
    <t>Cultures annuelles</t>
  </si>
  <si>
    <t>Vignes</t>
  </si>
  <si>
    <t>Vergers</t>
  </si>
  <si>
    <t>Emissions du secteur des UTCATF (MtCO2e)</t>
  </si>
  <si>
    <t>LULUCF</t>
  </si>
  <si>
    <t>DROM</t>
  </si>
  <si>
    <t>Evolution du PIB/hab</t>
  </si>
  <si>
    <t>Réunion</t>
  </si>
  <si>
    <t>€/hab</t>
  </si>
  <si>
    <t>Evolution de la population</t>
  </si>
  <si>
    <t>Mhab</t>
  </si>
  <si>
    <t>Evolution du mix électrique - Guadeloupe</t>
  </si>
  <si>
    <t>PPR</t>
  </si>
  <si>
    <t>Photovoltaïque</t>
  </si>
  <si>
    <t>Géothermie</t>
  </si>
  <si>
    <t>Eolien</t>
  </si>
  <si>
    <t>Gaz Renouvelable</t>
  </si>
  <si>
    <t>Evolution du mix électrique - Guyane</t>
  </si>
  <si>
    <t>Evolution du mix électrique - Martinique</t>
  </si>
  <si>
    <t>Evolution du mix électrique - Mayotte</t>
  </si>
  <si>
    <t>Evolution du mix électrique - Réunion</t>
  </si>
  <si>
    <t>Evolution de la demande électrique</t>
  </si>
  <si>
    <t>MWh</t>
  </si>
  <si>
    <t>Sources: SDES, bilans de l'énergie DROM, 2023</t>
  </si>
  <si>
    <t>Emissions des DROM</t>
  </si>
  <si>
    <t>Total (hors UTCATF)</t>
  </si>
  <si>
    <t>Mix électrique</t>
  </si>
  <si>
    <t>Cadrage macro-économique</t>
  </si>
  <si>
    <t>Source SECTEN 2024, projections CITEPA - CCUS comptés en puits, périmètre Kyoto</t>
  </si>
  <si>
    <t>Source SECTEN 2024, projections CITEPA, , périmètre Kyoto</t>
  </si>
  <si>
    <t>Périmètre Kyoto, SECTEN 2024, ,Projections DGEC</t>
  </si>
  <si>
    <t xml:space="preserve"> Périmètre métropole</t>
  </si>
  <si>
    <t xml:space="preserve"> Périmètre hexagone</t>
  </si>
  <si>
    <t>Rénovations permettant d'atteindre un DPE A ou B voire C si le logement était une passoire énergétique. Périmètre hexagone</t>
  </si>
  <si>
    <t>Sorties du modèle ResIRF. Périmètre hexagone</t>
  </si>
  <si>
    <t>Périmètre hexagone</t>
  </si>
  <si>
    <t>Point 2020 : Données SDES 2022 sur 2020. Périmètre hexagone</t>
  </si>
  <si>
    <t>ADEME via enquête ITOM, projections DGEC et CITEPA. Périmètre hexagone</t>
  </si>
  <si>
    <t>Inventaire CITEPA, projections DGEC et CITEPA. Périmètre hexagone</t>
  </si>
  <si>
    <t>Périmètre Kyoto, CITEPA SECTEN 2024, Projections DGEC</t>
  </si>
  <si>
    <t>Périmètre DROM, CITEPA SECTEN 2024, Projections DGEC</t>
  </si>
  <si>
    <t>Les onglets "Hypothèses sectorielles" permettent d'explorer une grande majorité des hypothèses sous-jacentes aux trajectoires de consommation d'énergie et de gaz à effet de serre sectorielles. Les hypothèses de chaque secteur sont rangées par grandes catégories, accessibles via le menu disponible en haut de chaque onglet.
Les tableaux d'hypothèses peuvent parfois être détaillés en appuyant sur les boutons "+" situés à gauche des tableaux.
Les résultats en terme d'énergie et d'émissions de gaz à effet de serre sont également présentées dans la catégorie résultats.</t>
  </si>
  <si>
    <t>Plus le délai d’enfouissement post-épandage est faible, plus les émissions associées sont réduites. A noter : la catégorie « dans les 4h » comporte les injecteurs. Périmètre hexagone</t>
  </si>
  <si>
    <t>Plus le délai d’enfouissement post-épandage est faible, plus les émissions associées sont réduites.  A noter : la catégorie « dans les 4h » comporte les injecteurs.  Périmètre hexagone</t>
  </si>
  <si>
    <t>Les pendillards et injecteurs sont des matériels d’épandage qui permettent de diminuer fortement les émissions associées, par rapport à un épandage par buse palette.  Périmètre hexagone</t>
  </si>
  <si>
    <t>Données historiques de la Statistique Agricole Annuelle 2022, données projetées modélisées par MOSUT. Périmètre hexagone</t>
  </si>
  <si>
    <t>Plusieurs périmètre sont utilisés pour ces données :
* Continental : France continentale uniquement
* Hexagone : France continentale + Corse
* Kyoto : France continentale + Corse + DROM
Sauf mention contraire, les résultats sont donnés au Périmètre Kyoto.</t>
  </si>
  <si>
    <t>La méthodologie des bilans SDES est consultable à cette adresse:</t>
  </si>
  <si>
    <t>https://www.statistiques.developpement-durable.gouv.fr/sites/default/files/2022-01/methodologie_bilan_energie_france.pdf</t>
  </si>
  <si>
    <t>Taux d'occupation (pers/véh)</t>
  </si>
  <si>
    <t>Taux de chargement (tonne/PL)</t>
  </si>
  <si>
    <t>Evolution des circulations (Mds véhicules-kilomètre)</t>
  </si>
  <si>
    <t>VP</t>
  </si>
  <si>
    <t>PL</t>
  </si>
  <si>
    <t>VUL</t>
  </si>
  <si>
    <t>B&amp;C</t>
  </si>
  <si>
    <t>Motocycles</t>
  </si>
  <si>
    <t xml:space="preserve"> - </t>
  </si>
  <si>
    <t>Evolution des taux d'occupation et de chargement des véhicules</t>
  </si>
  <si>
    <t>Evolution des accrus naturels et du boisement post 2021 (kha/an)</t>
  </si>
  <si>
    <t>Allocation de la récolte dans les produits bois, le papier et l'énergie (%)</t>
  </si>
  <si>
    <t>années</t>
  </si>
  <si>
    <t>Feuillus bois d'œuvre</t>
  </si>
  <si>
    <t>Résineux bois d'œuvre</t>
  </si>
  <si>
    <t>Feuillus bois d'industrie</t>
  </si>
  <si>
    <t>Résineux bois d'industrie</t>
  </si>
  <si>
    <t>bois énergie</t>
  </si>
  <si>
    <t>pertes</t>
  </si>
  <si>
    <t>Total hors pertes</t>
  </si>
  <si>
    <t>Prélèvements</t>
  </si>
  <si>
    <t>Boisement hors forêt post 2021</t>
  </si>
  <si>
    <t>Surface totale de forêt</t>
  </si>
  <si>
    <t>Evolution de la surface forestière totale (kha)</t>
  </si>
  <si>
    <t>dont panneaux</t>
  </si>
  <si>
    <t>Périmètre hexagone INV+. Non inclus dans les résultats GES au format de l'inventaire, l'inventaire ne prenant pas encore en considération ces puits.</t>
  </si>
  <si>
    <t>Evolution des surfaces hors forêt (kha)</t>
  </si>
  <si>
    <t>Evolution de la consommation d'énergie des bâtiments d'élevage (kWh/bâtiment)</t>
  </si>
  <si>
    <t>La production d'H2 est considérée égale à la demande issue des modélisations des différents secteurs. Les hypothèses portent sur le mix de production de l'H2 nouvellement utilisé (en remplacement d'H2 fossile ou pour de nouveaux usages).</t>
  </si>
  <si>
    <t>Cultures et prairies</t>
  </si>
  <si>
    <t>Part en agriculture biologique</t>
  </si>
  <si>
    <t>Part des grandes cultures en agriculture biologique, intégrée et optimisée  (%)</t>
  </si>
  <si>
    <t>Part en agriculture intégrée</t>
  </si>
  <si>
    <t>Part en agriculture optimisée</t>
  </si>
  <si>
    <t>Evolution des surfaces avec cultures intermédiaires (kha)</t>
  </si>
  <si>
    <t>Cultures intermédiaires pièges à nitrates</t>
  </si>
  <si>
    <t>Engrais verts</t>
  </si>
  <si>
    <t>Cultures intermédiaires à vocation énergétique</t>
  </si>
  <si>
    <t>Evolution du linéaire de haies (kml)</t>
  </si>
  <si>
    <t>kilomètres linéaires</t>
  </si>
  <si>
    <t>kgN/ha au sol</t>
  </si>
  <si>
    <t>Surplus azoté (kgN/ha)</t>
  </si>
  <si>
    <t>Surplus azoté</t>
  </si>
  <si>
    <t>Ces apports supplémentaires de lipides permettent de diminuer les émissions de la fermentation entérique pour les bovins concernés, et ne peuvent se faire que sur les périodes de bâtiment.  Périmètre  hexagone</t>
  </si>
  <si>
    <t>Périmètre  hexagone</t>
  </si>
  <si>
    <t>Régime herbager</t>
  </si>
  <si>
    <t>Régime mixte</t>
  </si>
  <si>
    <t>Régime majoritairement au maïs</t>
  </si>
  <si>
    <t>Part des bovins lait par type de régime alimentaire (%)</t>
  </si>
  <si>
    <t>Valeurs ajoutées de l'industrie diffuse (en Md€ de 2015)</t>
  </si>
  <si>
    <t>Coefficients de décorrélation valeur ajoutée - production des industries diffuses (sans unité)</t>
  </si>
  <si>
    <t>Préparation et utilisation de CSR</t>
  </si>
  <si>
    <t xml:space="preserve">Compostage </t>
  </si>
  <si>
    <t>Combustible coproduit</t>
  </si>
  <si>
    <t>La consommation de gaz est répartie entre la consommation de gaz de réseau et le combustible coproduit lors du vapocracage.</t>
  </si>
  <si>
    <t>Autres (électronique, pharmacie, etc.)</t>
  </si>
  <si>
    <t xml:space="preserve">Pétrole </t>
  </si>
  <si>
    <t xml:space="preserve">Biofuel </t>
  </si>
  <si>
    <t xml:space="preserve">Parmi les quantités de CO2 captées, les quantités stockées sont distinguées de celles qui sont utilisées. Les premières viendront alimenter le puits technologique, les deuxièmes servent de matière première aux carburants de synthèse (les puits comptabilisés dans l’industrie se retrouvent donc en émissions dans les secteurs utilisateurs). Aussi, les émissions biogéniques sont calculées de manière à estimer les émissions négatives générées par les BECCS.
L’AME 2024 ne retient que les projets ayant déjà reçu de premiers financements pour 2030 :
- Le projet "K6" sur la cimenterie d'Eqiom à Lumbres, lauréat de du Fonds innovation européen : 245 ktCO2/an à partir de 2027-2028 pour la première phase puis une seconde phase en 2030 pour un total de 800 ktCO2/an. Seule la seconde phase a été intégrée à la modélisation au regard des faibles volumes projetés dans la première.
- Le projet "Calcc" sur le site de production de chaux de Lhoist à Réty : 580 kt/an à partir de 2027-2028, également lauréat de du Fonds innovation européen. Ces volumes ont également été comptés uniquement à partir de 2030, par conservatisme.
- Le projet 3D n’est plus compté dans le scénario tendanciel par Arcelor Mittal des feuilles de route 50 sites donc a été écarté.
- A horizon 2050, le potentiel de captage a été évalué en reprenant les scénarios tendanciels des feuilles de route 50 sites ainsi que le scénario ambitieux pour les projets apparaissant les plus crédibles, sans financement supplémentaire : Eqiom Lumbres, Lafarge Saint Pierre la Cour, Lafarge Martres-Tolosane, Vicat Montalieu et Calcia Airvault (4,9 MtCO2e)
</t>
  </si>
  <si>
    <t>Captage et valorisation du carbone dans l'industrie au total (MtCO2)</t>
  </si>
  <si>
    <t>Chimie - sources d'émissions</t>
  </si>
  <si>
    <t>Construction - sources d'émissions</t>
  </si>
  <si>
    <t>Biens d'équipements, matériels de transport - sources d'émissions</t>
  </si>
  <si>
    <t>Agro-alimentaire - sources d'émissions</t>
  </si>
  <si>
    <t>Métallurgie des métaux ferreux (dont acier) - sources d'émissions</t>
  </si>
  <si>
    <t>Métallurgie des métaux non-ferreux - sources d'émissions</t>
  </si>
  <si>
    <t>Minéraux non-métalliques, matériaux de construction - sources d'émissions</t>
  </si>
  <si>
    <t>Papier, carton - sources d'émissions</t>
  </si>
  <si>
    <t>Autres industries manufacturières - sources d'émissions</t>
  </si>
  <si>
    <t>Verre (hors CCS)</t>
  </si>
  <si>
    <t>MtCO2e (CCUS inclus)</t>
  </si>
  <si>
    <t>part de CO2 biogénique</t>
  </si>
  <si>
    <t>part stockée</t>
  </si>
  <si>
    <t>part utilisée</t>
  </si>
  <si>
    <t>Production d'électricité (MtCO2)</t>
  </si>
  <si>
    <t>Production de chaleur (MtCO2)</t>
  </si>
  <si>
    <t>Raffinage (MtCO2)</t>
  </si>
  <si>
    <t>Direct Air Capture (MtCO2)</t>
  </si>
  <si>
    <t>Capture et stockage par filière de production d'énergie et pour le Direct Air Capture (MtCO2), part stockée et part utilisée (%)</t>
  </si>
  <si>
    <t>Parmi les quantités de CO2 captées, les quantités stockées sont distinguées de celles qui sont utilisées. Les premières viendront alimenter le puits technologique, les deuxièmes servent de matière première aux carburants de synthèse (les puits comptabilisés dans l’industrie se retrouvent donc en émissions dans les secteurs utilisateurs). Aussi, les émissions biogéniques et le captage par Direct Air Capture sont calculées de manière à estimer les émissions négatives générées (BECCS et DAC).</t>
  </si>
  <si>
    <t>Dont DACCS</t>
  </si>
  <si>
    <t>Dont DACCU</t>
  </si>
  <si>
    <t>Captage et valorisation du carbone dans les filières de production d'énergie et par le DAC au total (MtCO2)</t>
  </si>
  <si>
    <t>La méthodologie est de traduire, en repartant du régime moyen observé dans l’étude INCA-3 (considéré comme le régime de la population en 2020), l’évolution nette de la part de la population effectuant une transition vers des régimes dits « optimisés ». Ceci permet de finalement en déduire le régime moyen de la population.</t>
  </si>
  <si>
    <t>Evolution du régime moyen de la population</t>
  </si>
  <si>
    <t>Prairies naturelles ou semées depuis plus de 6 ans</t>
  </si>
  <si>
    <t>STH peu productives (parcours, landes, alpages)</t>
  </si>
  <si>
    <t>Périmètre hexagone. Les surfaces indiquées ici peuvent ne pas correspondre aux surfaces indiquées dans le secteur de l'agriculture car les surfaces indiquées ici relèvent de périmètres appliqués pour le secteur UTCATF qui peuvent être différents.</t>
  </si>
  <si>
    <t>Pour les trafics, les évolutions sont présentées par rapport à 2019 et non 2021 (année impactée par le covid)</t>
  </si>
  <si>
    <t>Source SECTEN 2024, projections CITEPA - CCUS compté en puits au niveau de la capture et en émissions dans le secteur émetteur, périmètre Kyoto</t>
  </si>
  <si>
    <t>Evolution de l'équilibre offre-demande des carburants de synthèse</t>
  </si>
  <si>
    <t>Evolution de l'équilibre offre-demande de gaz fossile</t>
  </si>
  <si>
    <t>Consommation de gaz fossile</t>
  </si>
  <si>
    <t>Production de gaz fossile</t>
  </si>
  <si>
    <t>Emissions dans l'air - Source Citepa édition 2024 - inventaire national d'émissions de gaz à effet de serre et de polluants atmosphériques - citepa.org</t>
  </si>
  <si>
    <r>
      <rPr>
        <b/>
        <sz val="11"/>
        <color rgb="FF000000"/>
        <rFont val="Calibri"/>
        <family val="2"/>
      </rPr>
      <t>Description</t>
    </r>
    <r>
      <rPr>
        <sz val="11"/>
        <color rgb="FF000000"/>
        <rFont val="Calibri"/>
        <family val="2"/>
      </rPr>
      <t xml:space="preserve"> : ce document vise à rassembler l'ensemble des données du scénario Avec Mesures Existentes (AME) 2024, ainsi que ses principaux résultats. Ces données sont le résultat d'hypothèses sur les politiques climatiques et leurs effets détaillés. La méthodologie de construction de ces données et les outils utilisés sont détaillés dans le Rapport de synthèse du scénario.</t>
    </r>
  </si>
  <si>
    <t>Les projections sont réalisées à partir d'un certain nombre de données historiques, qui sont reprises autant que possible sur les bases de données de référence les plus à jour. Lorsque certaines données n'étaient pas disponibles sur les années les plus récentes, des hypothèses d'estimations simplificatrices ont été prises. Des ajustements ont aussi pu être faits lorsque le périmètre des hypothèses des modèles ne correspondait pas exactement au périmètre des données des bases de données de référence.</t>
  </si>
  <si>
    <t>Biocarburants (HVO,…)</t>
  </si>
  <si>
    <t>Taux d'incorporation des matières premières recyclées (%)</t>
  </si>
  <si>
    <t>Taux d'incorporation de biocombustibles et carburants de synthèse (%)</t>
  </si>
  <si>
    <t>Parc d'équipements de chauffage par énergie dans le résidentiel (%)</t>
  </si>
  <si>
    <t>Part des surfaces chauffées par type d'équipement dans le tertiaire (%)</t>
  </si>
  <si>
    <t>Ces données correspondent aux prix de marché et non aux prix à la consommation.</t>
  </si>
  <si>
    <t>€ / MWh PCI</t>
  </si>
  <si>
    <t>Nombre de destructions (milliers/an)</t>
  </si>
  <si>
    <t>Nombre de logements manquant (inadéquation et mal logement) (milliers)</t>
  </si>
  <si>
    <t xml:space="preserve">  Dont réponse à l’évolution du nombre de ménages</t>
  </si>
  <si>
    <t xml:space="preserve">  Dont maison individuelle</t>
  </si>
  <si>
    <t xml:space="preserve">  Dont logement collectif</t>
  </si>
  <si>
    <t xml:space="preserve">  Dont réponse à l’évolution du nombre de logements vacants</t>
  </si>
  <si>
    <t xml:space="preserve">  Dont réponse à l’évolution du nombre de résidences secondaires</t>
  </si>
  <si>
    <t xml:space="preserve">  Dont compensation des destructions</t>
  </si>
  <si>
    <t>Construction neuve (logements/an en moyenne sur la décennie)</t>
  </si>
  <si>
    <t xml:space="preserve">  Dont résidences principales</t>
  </si>
  <si>
    <t>Périmètre hexagone. DEET : Dispositif Eco Efficacité Tertiaire</t>
  </si>
  <si>
    <t xml:space="preserve">Périmètre Kyoto, SDES bilans d'énergie 2022, Projections DGEC. Il peut exister des différences entre ces résultats de consommation et les consommations d'énergie en sortie de chaque modèle sectoriel en raison de corrections statistiques sur les années de référence sur les bilans SDES. </t>
  </si>
  <si>
    <t>L’outil Pepit0 de l’ADEME a été utilisé pour modéliser les niveaux de consommation (en Mt) de matières premières pour chacune des IGCE (Industries grandes consommatrices d'énergie)</t>
  </si>
  <si>
    <t>Evolution des consommations d'énergie à usages énergétiques dans l'industrie (TWh)</t>
  </si>
  <si>
    <t>Evolution des consommations d'énergie à usages non-énergétiques dans l'industrie (TWh)</t>
  </si>
  <si>
    <t>TWh PCI</t>
  </si>
  <si>
    <t>TWh EF/an PCI</t>
  </si>
  <si>
    <t>Périmètre France Kyoto (TWh PCI)</t>
  </si>
  <si>
    <t>Gaz fossile</t>
  </si>
  <si>
    <t xml:space="preserve">Evolution du prix des énergies fossiles importées (en €2019) </t>
  </si>
  <si>
    <t>Périmètre Hexagone avec Corse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</si>
</sst>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8">
    <numFmt numFmtId="41" formatCode="_-* #,##0_-;\-* #,##0_-;_-* &quot;-&quot;_-;_-@_-"/>
    <numFmt numFmtId="43" formatCode="_-* #,##0.00_-;\-* #,##0.00_-;_-* &quot;-&quot;??_-;_-@_-"/>
    <numFmt numFmtId="164" formatCode="0.0%"/>
    <numFmt numFmtId="165" formatCode="0.0"/>
    <numFmt numFmtId="166" formatCode="_-* #,##0.0_-;\-* #,##0.0_-;_-* &quot;-&quot;??_-;_-@_-"/>
    <numFmt numFmtId="167" formatCode="_-* #,##0.00\ _€_-;\-* #,##0.00\ _€_-;_-* &quot;-&quot;??\ _€_-;_-@_-"/>
    <numFmt numFmtId="168" formatCode="_-* #,##0.0\ _€_-;\-* #,##0.0\ _€_-;_-* &quot;-&quot;??\ _€_-;_-@_-"/>
    <numFmt numFmtId="169" formatCode="#,##0.0"/>
    <numFmt numFmtId="170" formatCode="#,##0.000"/>
    <numFmt numFmtId="171" formatCode="_-* #,##0.00_-;\-* #,##0.00_-;_-* \-??_-;_-@_-"/>
    <numFmt numFmtId="172" formatCode="_(&quot;$&quot;* #,##0_);_(&quot;$&quot;* \(#,##0\);_(&quot;$&quot;* &quot;-&quot;_);_(@_)"/>
    <numFmt numFmtId="173" formatCode="#,##0.00&quot; &quot;;&quot;-&quot;#,##0.00&quot; &quot;;&quot;-&quot;#&quot; &quot;;@&quot; &quot;"/>
    <numFmt numFmtId="174" formatCode="mmmm&quot; &quot;d&quot;, &quot;yyyy"/>
    <numFmt numFmtId="175" formatCode="#,##0.00&quot; € &quot;;#,##0.00&quot; € &quot;;&quot;-&quot;#&quot; € &quot;;@&quot; &quot;"/>
    <numFmt numFmtId="176" formatCode="#,##0.00&quot; &quot;[$€]&quot; &quot;;#,##0.00&quot; &quot;[$€]&quot; &quot;;&quot;-&quot;#&quot; &quot;[$€]&quot; &quot;;&quot; &quot;@&quot; &quot;"/>
    <numFmt numFmtId="177" formatCode="#,##0.00&quot; &quot;[$€-401]&quot; &quot;;#,##0.00&quot; &quot;[$€-401]&quot; &quot;;&quot;-&quot;#&quot; &quot;[$€-401]&quot; &quot;"/>
    <numFmt numFmtId="178" formatCode="#,##0.00&quot; &quot;[$€];&quot;-&quot;#,##0.00&quot; &quot;[$€]"/>
    <numFmt numFmtId="179" formatCode="#,##0.00&quot; &quot;[$€]&quot; &quot;;#,##0.00&quot; &quot;[$€]&quot; &quot;;&quot;-&quot;#&quot; &quot;[$€]&quot; &quot;;@&quot; &quot;"/>
    <numFmt numFmtId="180" formatCode="0&quot; &quot;%"/>
    <numFmt numFmtId="181" formatCode="#,##0.00&quot;    &quot;;#,##0.00&quot;    &quot;;&quot;-&quot;#&quot;    &quot;;&quot; &quot;@&quot; &quot;"/>
    <numFmt numFmtId="182" formatCode="#,##0.00&quot;    &quot;;#,##0.00&quot;    &quot;;&quot;-&quot;#&quot;    &quot;;@&quot; &quot;"/>
    <numFmt numFmtId="183" formatCode="#,##0&quot; F&quot;;&quot;-&quot;#,##0&quot; F&quot;"/>
    <numFmt numFmtId="184" formatCode="0.00&quot; &quot;"/>
    <numFmt numFmtId="185" formatCode="&quot;(&quot;#&quot;)&quot;;&quot;(&quot;#&quot;)&quot;"/>
    <numFmt numFmtId="186" formatCode="#,##0.00&quot; &quot;[$€-40C];[Red]&quot;-&quot;#,##0.00&quot; &quot;[$€-40C]"/>
    <numFmt numFmtId="187" formatCode="#,##0.0000"/>
    <numFmt numFmtId="188" formatCode="[$€-402]&quot; &quot;#,##0.0"/>
    <numFmt numFmtId="189" formatCode="[$€-402]&quot; &quot;#,##0.00"/>
    <numFmt numFmtId="190" formatCode="[$€-402]&quot; &quot;#,##0"/>
    <numFmt numFmtId="191" formatCode="#,##0.0&quot; F&quot;"/>
    <numFmt numFmtId="192" formatCode="#,##0.00&quot; F&quot;"/>
    <numFmt numFmtId="193" formatCode="#,##0&quot; F&quot;"/>
    <numFmt numFmtId="194" formatCode="0.00&quot; &quot;%"/>
    <numFmt numFmtId="195" formatCode="#,##0&quot; F &quot;;#,##0&quot; F &quot;;&quot;- F &quot;;&quot; &quot;@&quot; &quot;"/>
    <numFmt numFmtId="196" formatCode="#,##0.00&quot; F &quot;;#,##0.00&quot; F &quot;;&quot;-&quot;#&quot; F &quot;;&quot; &quot;@&quot; &quot;"/>
    <numFmt numFmtId="197" formatCode="#,##0.00&quot; &quot;[$€-40C]&quot; &quot;;#,##0.00&quot; &quot;[$€-40C]&quot; &quot;;&quot;-&quot;#&quot; &quot;[$€-40C]&quot; &quot;;&quot; &quot;@&quot; &quot;"/>
    <numFmt numFmtId="198" formatCode="#,##0.00&quot; &quot;[$€-40C];&quot;-&quot;#,##0.00&quot; &quot;[$€-40C]"/>
    <numFmt numFmtId="199" formatCode="#,##0.00&quot; &quot;[$€-40C]&quot; &quot;;#,##0.00&quot; &quot;[$€-40C]&quot; &quot;;&quot;-&quot;#&quot; &quot;[$€-40C]&quot; &quot;;@&quot; &quot;"/>
    <numFmt numFmtId="200" formatCode="&quot; &quot;#,##0.00&quot; &quot;;&quot;-&quot;#,##0.00&quot; &quot;;&quot; -&quot;00&quot; &quot;;&quot; &quot;@&quot; &quot;"/>
    <numFmt numFmtId="201" formatCode="[$€-40C]&quot; &quot;#,##0.0"/>
    <numFmt numFmtId="202" formatCode="[$€-40C]&quot; &quot;#,##0.00"/>
    <numFmt numFmtId="203" formatCode="[$€-40C]&quot; &quot;#,##0"/>
    <numFmt numFmtId="204" formatCode="[$€]&quot; &quot;#,##0.0"/>
    <numFmt numFmtId="205" formatCode="[$€]&quot; &quot;#,##0.00"/>
    <numFmt numFmtId="206" formatCode="[$€]&quot; &quot;#,##0"/>
    <numFmt numFmtId="207" formatCode="0\ %"/>
    <numFmt numFmtId="208" formatCode="_-* #,##0.00&quot; €&quot;_-;\-* #,##0.00&quot; €&quot;_-;_-* \-??&quot; €&quot;_-;_-@_-"/>
    <numFmt numFmtId="209" formatCode="#,##0.00\ [$€-40C];[Red]\-#,##0.00\ [$€-40C]"/>
  </numFmts>
  <fonts count="29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Geneva"/>
    </font>
    <font>
      <b/>
      <sz val="12"/>
      <color theme="0"/>
      <name val="Arial"/>
      <family val="2"/>
    </font>
    <font>
      <b/>
      <sz val="18"/>
      <color theme="3"/>
      <name val="Calibri Light"/>
      <family val="2"/>
      <scheme val="major"/>
    </font>
    <font>
      <u/>
      <sz val="11"/>
      <color theme="10"/>
      <name val="Calibri"/>
      <family val="2"/>
      <scheme val="minor"/>
    </font>
    <font>
      <sz val="10"/>
      <name val="Arial"/>
      <family val="2"/>
    </font>
    <font>
      <b/>
      <sz val="20"/>
      <name val="Trebuchet MS"/>
      <family val="2"/>
    </font>
    <font>
      <b/>
      <sz val="14"/>
      <name val="Trebuchet MS"/>
      <family val="2"/>
    </font>
    <font>
      <sz val="14"/>
      <name val="Trebuchet MS"/>
      <family val="2"/>
    </font>
    <font>
      <b/>
      <sz val="10"/>
      <name val="Trebuchet MS"/>
      <family val="2"/>
    </font>
    <font>
      <sz val="10"/>
      <name val="Trebuchet MS"/>
      <family val="2"/>
    </font>
    <font>
      <i/>
      <sz val="10"/>
      <name val="Trebuchet MS"/>
      <family val="2"/>
    </font>
    <font>
      <b/>
      <sz val="16"/>
      <name val="Trebuchet MS"/>
      <family val="2"/>
    </font>
    <font>
      <b/>
      <sz val="14"/>
      <color theme="0"/>
      <name val="Trebuchet MS"/>
      <family val="2"/>
    </font>
    <font>
      <sz val="14"/>
      <color theme="0"/>
      <name val="Trebuchet MS"/>
      <family val="2"/>
    </font>
    <font>
      <b/>
      <i/>
      <sz val="9"/>
      <name val="Trebuchet MS"/>
      <family val="2"/>
    </font>
    <font>
      <b/>
      <sz val="9"/>
      <name val="Trebuchet MS"/>
      <family val="2"/>
    </font>
    <font>
      <b/>
      <sz val="8"/>
      <name val="Trebuchet MS"/>
      <family val="2"/>
    </font>
    <font>
      <sz val="8"/>
      <name val="Trebuchet MS"/>
      <family val="2"/>
    </font>
    <font>
      <b/>
      <i/>
      <sz val="8"/>
      <name val="Trebuchet MS"/>
      <family val="2"/>
    </font>
    <font>
      <i/>
      <sz val="8"/>
      <name val="Trebuchet MS"/>
      <family val="2"/>
    </font>
    <font>
      <sz val="11"/>
      <color theme="1"/>
      <name val="Trebuchet MS"/>
      <family val="2"/>
    </font>
    <font>
      <b/>
      <sz val="11"/>
      <name val="Trebuchet MS"/>
      <family val="2"/>
    </font>
    <font>
      <sz val="11"/>
      <name val="Trebuchet MS"/>
      <family val="2"/>
    </font>
    <font>
      <b/>
      <sz val="11"/>
      <color theme="0"/>
      <name val="Trebuchet MS"/>
      <family val="2"/>
    </font>
    <font>
      <sz val="8"/>
      <color theme="1"/>
      <name val="Trebuchet MS"/>
      <family val="2"/>
    </font>
    <font>
      <sz val="11"/>
      <color theme="0"/>
      <name val="Trebuchet MS"/>
      <family val="2"/>
    </font>
    <font>
      <sz val="11"/>
      <color rgb="FF000000"/>
      <name val="Calibri"/>
      <family val="2"/>
      <charset val="1"/>
    </font>
    <font>
      <sz val="11"/>
      <color theme="0" tint="-0.499984740745262"/>
      <name val="Calibri"/>
      <family val="2"/>
      <scheme val="minor"/>
    </font>
    <font>
      <sz val="8"/>
      <color theme="0" tint="-0.499984740745262"/>
      <name val="Trebuchet MS"/>
      <family val="2"/>
    </font>
    <font>
      <sz val="11"/>
      <color theme="1"/>
      <name val="Calibri"/>
      <family val="2"/>
    </font>
    <font>
      <b/>
      <sz val="11"/>
      <color rgb="FF000000"/>
      <name val="Calibri"/>
      <family val="2"/>
    </font>
    <font>
      <b/>
      <sz val="11"/>
      <color rgb="FFFFFFFF"/>
      <name val="Calibri"/>
      <family val="2"/>
    </font>
    <font>
      <sz val="12"/>
      <color theme="1"/>
      <name val="Marianne"/>
      <family val="3"/>
    </font>
    <font>
      <b/>
      <sz val="22"/>
      <color rgb="FFFF0000"/>
      <name val="Marianne"/>
      <family val="3"/>
    </font>
    <font>
      <b/>
      <sz val="12"/>
      <color theme="1"/>
      <name val="Marianne"/>
      <family val="3"/>
    </font>
    <font>
      <b/>
      <sz val="18"/>
      <color rgb="FFFF0000"/>
      <name val="Marianne"/>
      <family val="3"/>
    </font>
    <font>
      <sz val="10"/>
      <color theme="1"/>
      <name val="Marianne"/>
      <family val="3"/>
    </font>
    <font>
      <i/>
      <sz val="9"/>
      <color theme="1"/>
      <name val="Marianne"/>
      <family val="3"/>
    </font>
    <font>
      <sz val="1"/>
      <color theme="0"/>
      <name val="Calibri"/>
      <family val="2"/>
      <scheme val="minor"/>
    </font>
    <font>
      <sz val="12"/>
      <color theme="0"/>
      <name val="Marianne"/>
      <family val="3"/>
    </font>
    <font>
      <b/>
      <sz val="14"/>
      <color theme="0"/>
      <name val="Marianne"/>
      <family val="3"/>
    </font>
    <font>
      <b/>
      <sz val="10"/>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sz val="10"/>
      <name val="Calibri"/>
      <family val="2"/>
      <scheme val="minor"/>
    </font>
    <font>
      <b/>
      <sz val="16"/>
      <color theme="1"/>
      <name val="Marianne"/>
      <family val="3"/>
    </font>
    <font>
      <b/>
      <sz val="18"/>
      <name val="Marianne"/>
      <family val="3"/>
    </font>
    <font>
      <sz val="10"/>
      <color theme="0"/>
      <name val="Marianne"/>
      <family val="3"/>
    </font>
    <font>
      <sz val="10"/>
      <color theme="1"/>
      <name val="Arial"/>
      <family val="2"/>
    </font>
    <font>
      <sz val="11"/>
      <name val="Calibri"/>
      <family val="2"/>
      <scheme val="minor"/>
    </font>
    <font>
      <sz val="11"/>
      <color theme="0"/>
      <name val="Marianne"/>
      <family val="3"/>
    </font>
    <font>
      <sz val="11"/>
      <color rgb="FF000000"/>
      <name val="Calibri1"/>
    </font>
    <font>
      <b/>
      <sz val="11"/>
      <name val="Calibri"/>
      <family val="2"/>
      <scheme val="minor"/>
    </font>
    <font>
      <sz val="11"/>
      <color indexed="8"/>
      <name val="Calibri"/>
      <family val="2"/>
    </font>
    <font>
      <sz val="11"/>
      <name val="Arial"/>
      <family val="2"/>
    </font>
    <font>
      <u/>
      <sz val="10"/>
      <color indexed="12"/>
      <name val="Arial"/>
      <family val="2"/>
    </font>
    <font>
      <sz val="10"/>
      <name val="MS Sans Serif"/>
      <family val="2"/>
    </font>
    <font>
      <sz val="10"/>
      <name val="Times New Roman"/>
      <family val="1"/>
    </font>
    <font>
      <sz val="10"/>
      <name val="MS Sans Serif"/>
      <family val="2"/>
      <charset val="1"/>
    </font>
    <font>
      <sz val="11"/>
      <color indexed="8"/>
      <name val="Liberation Sans"/>
      <family val="2"/>
    </font>
    <font>
      <sz val="10"/>
      <color rgb="FF000000"/>
      <name val="Arial1"/>
      <family val="2"/>
    </font>
    <font>
      <sz val="10"/>
      <color rgb="FF000000"/>
      <name val="Arial1"/>
    </font>
    <font>
      <sz val="10"/>
      <color rgb="FF000000"/>
      <name val="Times New Roman2"/>
      <family val="1"/>
    </font>
    <font>
      <sz val="10"/>
      <color rgb="FF000000"/>
      <name val="Times New Roman1"/>
      <family val="1"/>
    </font>
    <font>
      <sz val="12"/>
      <color rgb="FF000000"/>
      <name val="Calibri2"/>
      <family val="2"/>
    </font>
    <font>
      <sz val="12"/>
      <color rgb="FF000000"/>
      <name val="Calibri"/>
      <family val="2"/>
    </font>
    <font>
      <sz val="8"/>
      <color rgb="FF000000"/>
      <name val="Arial1"/>
    </font>
    <font>
      <sz val="8"/>
      <color rgb="FF000000"/>
      <name val="Arial1"/>
      <family val="2"/>
    </font>
    <font>
      <sz val="11"/>
      <color rgb="FF000000"/>
      <name val="Calibri2"/>
      <family val="2"/>
    </font>
    <font>
      <sz val="11"/>
      <color rgb="FF000000"/>
      <name val="Calibri"/>
      <family val="2"/>
    </font>
    <font>
      <sz val="12"/>
      <color rgb="FFFFFFFF"/>
      <name val="Calibri2"/>
      <family val="2"/>
    </font>
    <font>
      <sz val="12"/>
      <color rgb="FFFFFFFF"/>
      <name val="Calibri"/>
      <family val="2"/>
    </font>
    <font>
      <sz val="8"/>
      <color rgb="FFFFFFFF"/>
      <name val="Arial1"/>
    </font>
    <font>
      <sz val="8"/>
      <color rgb="FFFFFFFF"/>
      <name val="Arial1"/>
      <family val="2"/>
    </font>
    <font>
      <sz val="11"/>
      <color rgb="FFFFFFFF"/>
      <name val="Calibri2"/>
      <family val="2"/>
    </font>
    <font>
      <sz val="11"/>
      <color rgb="FFFFFFFF"/>
      <name val="Calibri"/>
      <family val="2"/>
    </font>
    <font>
      <sz val="8"/>
      <color rgb="FFFF0000"/>
      <name val="Arial1"/>
      <family val="2"/>
    </font>
    <font>
      <sz val="8"/>
      <color rgb="FFFF0000"/>
      <name val="Arial1"/>
    </font>
    <font>
      <sz val="11"/>
      <color rgb="FF800080"/>
      <name val="Calibri2"/>
      <family val="2"/>
    </font>
    <font>
      <sz val="11"/>
      <color rgb="FF800080"/>
      <name val="Calibri"/>
      <family val="2"/>
    </font>
    <font>
      <b/>
      <sz val="9"/>
      <color rgb="FF000000"/>
      <name val="Times New Roman2"/>
      <family val="1"/>
    </font>
    <font>
      <b/>
      <sz val="9"/>
      <color rgb="FF000000"/>
      <name val="Times New Roman1"/>
      <family val="1"/>
    </font>
    <font>
      <sz val="12"/>
      <color rgb="FF008000"/>
      <name val="Calibri2"/>
      <family val="2"/>
    </font>
    <font>
      <sz val="12"/>
      <color rgb="FF008000"/>
      <name val="Calibri"/>
      <family val="2"/>
    </font>
    <font>
      <sz val="11"/>
      <color rgb="FF008000"/>
      <name val="Calibri2"/>
      <family val="2"/>
    </font>
    <font>
      <sz val="11"/>
      <color rgb="FF008000"/>
      <name val="Calibri"/>
      <family val="2"/>
    </font>
    <font>
      <b/>
      <sz val="11"/>
      <color rgb="FF993300"/>
      <name val="Calibri2"/>
      <family val="2"/>
    </font>
    <font>
      <b/>
      <sz val="11"/>
      <color rgb="FF993300"/>
      <name val="Calibri"/>
      <family val="2"/>
    </font>
    <font>
      <b/>
      <sz val="8"/>
      <color rgb="FFFF9900"/>
      <name val="Arial1"/>
      <family val="2"/>
    </font>
    <font>
      <b/>
      <sz val="8"/>
      <color rgb="FFFF9900"/>
      <name val="Arial1"/>
    </font>
    <font>
      <b/>
      <sz val="11"/>
      <color rgb="FFFFFFFF"/>
      <name val="Calibri2"/>
      <family val="2"/>
    </font>
    <font>
      <sz val="11"/>
      <color rgb="FF993300"/>
      <name val="Calibri2"/>
      <family val="2"/>
    </font>
    <font>
      <sz val="11"/>
      <color rgb="FF993300"/>
      <name val="Calibri"/>
      <family val="2"/>
    </font>
    <font>
      <sz val="8"/>
      <color rgb="FFFF9900"/>
      <name val="Arial1"/>
      <family val="2"/>
    </font>
    <font>
      <sz val="8"/>
      <color rgb="FFFF9900"/>
      <name val="Arial1"/>
    </font>
    <font>
      <sz val="10"/>
      <color rgb="FF808080"/>
      <name val="Courier New"/>
      <family val="3"/>
    </font>
    <font>
      <sz val="10"/>
      <color rgb="FF000000"/>
      <name val="Courier New"/>
      <family val="3"/>
    </font>
    <font>
      <b/>
      <sz val="10"/>
      <color rgb="FFFFFFFF"/>
      <name val="Arial1"/>
      <family val="2"/>
    </font>
    <font>
      <b/>
      <sz val="10"/>
      <color rgb="FFFFFFFF"/>
      <name val="Arial1"/>
    </font>
    <font>
      <b/>
      <sz val="10"/>
      <color rgb="FF000000"/>
      <name val="Courier New"/>
      <family val="3"/>
    </font>
    <font>
      <sz val="8"/>
      <color rgb="FF000000"/>
      <name val="Courier New"/>
      <family val="3"/>
    </font>
    <font>
      <b/>
      <i/>
      <sz val="10"/>
      <color rgb="FF333300"/>
      <name val="Courier New"/>
      <family val="3"/>
    </font>
    <font>
      <b/>
      <i/>
      <sz val="10"/>
      <color rgb="FF008080"/>
      <name val="Courier New"/>
      <family val="3"/>
    </font>
    <font>
      <b/>
      <i/>
      <sz val="10"/>
      <color rgb="FF993300"/>
      <name val="Courier New"/>
      <family val="3"/>
    </font>
    <font>
      <b/>
      <i/>
      <sz val="10"/>
      <color rgb="FF808000"/>
      <name val="Courier New"/>
      <family val="3"/>
    </font>
    <font>
      <i/>
      <sz val="10"/>
      <color rgb="FF0000FF"/>
      <name val="Courier New"/>
      <family val="3"/>
    </font>
    <font>
      <b/>
      <sz val="11"/>
      <color rgb="FF000000"/>
      <name val="Times New Roman2"/>
      <family val="1"/>
    </font>
    <font>
      <b/>
      <sz val="11"/>
      <color rgb="FF000000"/>
      <name val="Times New Roman1"/>
      <family val="1"/>
    </font>
    <font>
      <b/>
      <sz val="10"/>
      <color rgb="FF000000"/>
      <name val="Times New Roman2"/>
      <family val="1"/>
    </font>
    <font>
      <b/>
      <sz val="10"/>
      <color rgb="FF000000"/>
      <name val="Times New Roman1"/>
      <family val="1"/>
    </font>
    <font>
      <b/>
      <i/>
      <sz val="10"/>
      <color rgb="FF000000"/>
      <name val="Arial1"/>
      <family val="2"/>
    </font>
    <font>
      <b/>
      <i/>
      <sz val="10"/>
      <color rgb="FF000000"/>
      <name val="Arial1"/>
    </font>
    <font>
      <sz val="10"/>
      <color rgb="FF3366FF"/>
      <name val="Arial1"/>
      <family val="2"/>
    </font>
    <font>
      <sz val="10"/>
      <color rgb="FF333399"/>
      <name val="Arial1"/>
      <family val="2"/>
    </font>
    <font>
      <sz val="10"/>
      <color rgb="FF3366FF"/>
      <name val="Arial1"/>
    </font>
    <font>
      <sz val="10"/>
      <color rgb="FF333399"/>
      <name val="Arial1"/>
    </font>
    <font>
      <b/>
      <sz val="10"/>
      <color rgb="FF333399"/>
      <name val="Arial1"/>
      <family val="2"/>
    </font>
    <font>
      <b/>
      <sz val="10"/>
      <color rgb="FF3366FF"/>
      <name val="Arial1"/>
      <family val="2"/>
    </font>
    <font>
      <b/>
      <sz val="10"/>
      <color rgb="FF3366FF"/>
      <name val="Arial1"/>
    </font>
    <font>
      <b/>
      <sz val="10"/>
      <color rgb="FF333399"/>
      <name val="Arial1"/>
    </font>
    <font>
      <b/>
      <sz val="11"/>
      <color rgb="FF3366FF"/>
      <name val="Calibri2"/>
      <family val="2"/>
    </font>
    <font>
      <b/>
      <sz val="11"/>
      <color rgb="FF3366FF"/>
      <name val="Calibri"/>
      <family val="2"/>
    </font>
    <font>
      <b/>
      <sz val="10"/>
      <color rgb="FF000000"/>
      <name val="Arial1"/>
      <family val="2"/>
    </font>
    <font>
      <b/>
      <sz val="18"/>
      <color rgb="FF000000"/>
      <name val="Arial1"/>
      <family val="2"/>
    </font>
    <font>
      <b/>
      <sz val="18"/>
      <color rgb="FF000000"/>
      <name val="Arial1"/>
    </font>
    <font>
      <b/>
      <sz val="12"/>
      <color rgb="FF000000"/>
      <name val="Arial1"/>
      <family val="2"/>
    </font>
    <font>
      <b/>
      <sz val="12"/>
      <color rgb="FF000000"/>
      <name val="Arial1"/>
    </font>
    <font>
      <i/>
      <sz val="8"/>
      <color rgb="FF666699"/>
      <name val="Arial1"/>
      <family val="2"/>
    </font>
    <font>
      <sz val="11"/>
      <color rgb="FF333399"/>
      <name val="Calibri2"/>
      <family val="2"/>
    </font>
    <font>
      <sz val="11"/>
      <color rgb="FF333399"/>
      <name val="Calibri"/>
      <family val="2"/>
    </font>
    <font>
      <sz val="8"/>
      <color rgb="FF333399"/>
      <name val="Arial1"/>
      <family val="2"/>
    </font>
    <font>
      <sz val="8"/>
      <color rgb="FF333399"/>
      <name val="Arial1"/>
    </font>
    <font>
      <i/>
      <sz val="11"/>
      <color rgb="FF808080"/>
      <name val="Calibri2"/>
      <family val="2"/>
    </font>
    <font>
      <i/>
      <sz val="11"/>
      <color rgb="FF808080"/>
      <name val="Calibri"/>
      <family val="2"/>
    </font>
    <font>
      <b/>
      <i/>
      <sz val="16"/>
      <color rgb="FF000000"/>
      <name val="Calibri2"/>
      <family val="2"/>
    </font>
    <font>
      <b/>
      <i/>
      <sz val="16"/>
      <color rgb="FF000000"/>
      <name val="Liberation Sans"/>
      <family val="2"/>
    </font>
    <font>
      <b/>
      <sz val="15"/>
      <color rgb="FF3366FF"/>
      <name val="Calibri2"/>
      <family val="2"/>
    </font>
    <font>
      <b/>
      <sz val="15"/>
      <color rgb="FF3366FF"/>
      <name val="Calibri"/>
      <family val="2"/>
    </font>
    <font>
      <b/>
      <sz val="13"/>
      <color rgb="FF3366FF"/>
      <name val="Calibri2"/>
      <family val="2"/>
    </font>
    <font>
      <b/>
      <sz val="13"/>
      <color rgb="FF3366FF"/>
      <name val="Calibri"/>
      <family val="2"/>
    </font>
    <font>
      <b/>
      <i/>
      <sz val="16"/>
      <color rgb="FF000000"/>
      <name val="Calibri"/>
      <family val="2"/>
    </font>
    <font>
      <sz val="8"/>
      <color rgb="FF0066CC"/>
      <name val="Arial1"/>
      <family val="2"/>
    </font>
    <font>
      <sz val="8"/>
      <color rgb="FF0066CC"/>
      <name val="Arial1"/>
    </font>
    <font>
      <u/>
      <sz val="10"/>
      <color rgb="FF0000FF"/>
      <name val="Arial1"/>
      <family val="2"/>
    </font>
    <font>
      <u/>
      <sz val="10"/>
      <color rgb="FF0066CC"/>
      <name val="Arial1"/>
      <family val="2"/>
    </font>
    <font>
      <u/>
      <sz val="10"/>
      <color rgb="FF0066CC"/>
      <name val="Arial1"/>
    </font>
    <font>
      <u/>
      <sz val="10"/>
      <color rgb="FF0000FF"/>
      <name val="Arial1"/>
    </font>
    <font>
      <u/>
      <sz val="10"/>
      <color rgb="FF0000FF"/>
      <name val="Times New Roman2"/>
      <family val="1"/>
    </font>
    <font>
      <u/>
      <sz val="10"/>
      <color rgb="FF0000FF"/>
      <name val="Times New Roman1"/>
      <family val="1"/>
    </font>
    <font>
      <u/>
      <sz val="11"/>
      <color rgb="FF0563C1"/>
      <name val="Calibri"/>
      <family val="2"/>
      <charset val="1"/>
    </font>
    <font>
      <b/>
      <sz val="12"/>
      <color rgb="FF000000"/>
      <name val="Times New Roman2"/>
      <family val="1"/>
    </font>
    <font>
      <b/>
      <sz val="8"/>
      <color rgb="FF000000"/>
      <name val="Arial1"/>
      <family val="2"/>
    </font>
    <font>
      <b/>
      <sz val="8"/>
      <color rgb="FF000000"/>
      <name val="Arial1"/>
    </font>
    <font>
      <b/>
      <u/>
      <sz val="8"/>
      <color rgb="FF000000"/>
      <name val="Arial1"/>
      <family val="2"/>
    </font>
    <font>
      <b/>
      <u/>
      <sz val="8"/>
      <color rgb="FF000000"/>
      <name val="Arial1"/>
    </font>
    <font>
      <i/>
      <u/>
      <sz val="8"/>
      <color rgb="FF000000"/>
      <name val="Arial1"/>
      <family val="2"/>
    </font>
    <font>
      <i/>
      <u/>
      <sz val="8"/>
      <color rgb="FF000000"/>
      <name val="Arial1"/>
    </font>
    <font>
      <sz val="8"/>
      <color rgb="FF000000"/>
      <name val="Comic Sans MS"/>
      <family val="4"/>
    </font>
    <font>
      <sz val="10"/>
      <color rgb="FF000000"/>
      <name val="Arial"/>
      <family val="2"/>
    </font>
    <font>
      <sz val="10"/>
      <color rgb="FFFF0000"/>
      <name val="Arial1"/>
      <family val="2"/>
    </font>
    <font>
      <sz val="11"/>
      <color rgb="FF333300"/>
      <name val="Calibri2"/>
      <family val="2"/>
    </font>
    <font>
      <sz val="11"/>
      <color rgb="FF333300"/>
      <name val="Calibri"/>
      <family val="2"/>
    </font>
    <font>
      <sz val="8"/>
      <color rgb="FF008080"/>
      <name val="Arial1"/>
      <family val="2"/>
    </font>
    <font>
      <sz val="8"/>
      <color rgb="FF008080"/>
      <name val="Arial1"/>
    </font>
    <font>
      <b/>
      <i/>
      <sz val="16"/>
      <color rgb="FF000000"/>
      <name val="Arial1"/>
      <family val="2"/>
    </font>
    <font>
      <b/>
      <i/>
      <sz val="16"/>
      <color rgb="FF000000"/>
      <name val="Arial1"/>
    </font>
    <font>
      <sz val="11"/>
      <color rgb="FF000000"/>
      <name val="Liberation Sans"/>
      <family val="2"/>
    </font>
    <font>
      <sz val="10"/>
      <color rgb="FF000000"/>
      <name val="Tahoma"/>
      <family val="2"/>
    </font>
    <font>
      <sz val="8"/>
      <color rgb="FF000000"/>
      <name val="Tahoma"/>
      <family val="2"/>
    </font>
    <font>
      <sz val="9"/>
      <color rgb="FF000000"/>
      <name val="Times New Roman2"/>
      <family val="1"/>
    </font>
    <font>
      <sz val="9"/>
      <color rgb="FF000000"/>
      <name val="Times New Roman1"/>
      <family val="1"/>
    </font>
    <font>
      <sz val="10"/>
      <color rgb="FF666699"/>
      <name val="Arial1"/>
      <family val="2"/>
    </font>
    <font>
      <sz val="10"/>
      <color rgb="FF666699"/>
      <name val="Arial1"/>
    </font>
    <font>
      <b/>
      <sz val="12"/>
      <color rgb="FF808080"/>
      <name val="Arial1"/>
      <family val="2"/>
    </font>
    <font>
      <b/>
      <sz val="11"/>
      <color rgb="FF333333"/>
      <name val="Calibri2"/>
      <family val="2"/>
    </font>
    <font>
      <b/>
      <sz val="11"/>
      <color rgb="FF333333"/>
      <name val="Calibri"/>
      <family val="2"/>
    </font>
    <font>
      <b/>
      <i/>
      <u/>
      <sz val="11"/>
      <color rgb="FF000000"/>
      <name val="Calibri2"/>
      <family val="2"/>
    </font>
    <font>
      <b/>
      <i/>
      <u/>
      <sz val="11"/>
      <color rgb="FF000000"/>
      <name val="Liberation Sans"/>
      <family val="2"/>
    </font>
    <font>
      <b/>
      <i/>
      <u/>
      <sz val="11"/>
      <color rgb="FF000000"/>
      <name val="Calibri"/>
      <family val="2"/>
    </font>
    <font>
      <sz val="8"/>
      <color rgb="FF008000"/>
      <name val="Arial1"/>
      <family val="2"/>
    </font>
    <font>
      <sz val="8"/>
      <color rgb="FF008000"/>
      <name val="Arial1"/>
    </font>
    <font>
      <b/>
      <sz val="8"/>
      <color rgb="FFFF6600"/>
      <name val="Arial1"/>
      <family val="2"/>
    </font>
    <font>
      <b/>
      <sz val="8"/>
      <color rgb="FFFF6600"/>
      <name val="Arial1"/>
    </font>
    <font>
      <i/>
      <sz val="8"/>
      <color rgb="FF008080"/>
      <name val="Arial1"/>
      <family val="2"/>
    </font>
    <font>
      <i/>
      <sz val="8"/>
      <color rgb="FF008080"/>
      <name val="Arial1"/>
    </font>
    <font>
      <b/>
      <sz val="10"/>
      <color rgb="FF000000"/>
      <name val="Arial1"/>
    </font>
    <font>
      <sz val="9"/>
      <color rgb="FF000000"/>
      <name val="Verdana"/>
      <family val="2"/>
    </font>
    <font>
      <sz val="10"/>
      <color rgb="FF008080"/>
      <name val="Courier New"/>
      <family val="3"/>
    </font>
    <font>
      <sz val="10"/>
      <color rgb="FF0066CC"/>
      <name val="Courier New"/>
      <family val="3"/>
    </font>
    <font>
      <sz val="10"/>
      <color rgb="FF008000"/>
      <name val="Courier New"/>
      <family val="3"/>
    </font>
    <font>
      <i/>
      <sz val="9"/>
      <color rgb="FF333300"/>
      <name val="Verdana"/>
      <family val="2"/>
    </font>
    <font>
      <i/>
      <sz val="9"/>
      <color rgb="FF008080"/>
      <name val="Verdana"/>
      <family val="2"/>
    </font>
    <font>
      <i/>
      <sz val="9"/>
      <color rgb="FF993300"/>
      <name val="Verdana"/>
      <family val="2"/>
    </font>
    <font>
      <i/>
      <sz val="9"/>
      <color rgb="FF808000"/>
      <name val="Verdana"/>
      <family val="2"/>
    </font>
    <font>
      <sz val="9"/>
      <color rgb="FF0000FF"/>
      <name val="Verdana"/>
      <family val="2"/>
    </font>
    <font>
      <sz val="9"/>
      <color rgb="FF000080"/>
      <name val="Verdana"/>
      <family val="2"/>
    </font>
    <font>
      <b/>
      <sz val="9"/>
      <color rgb="FF000000"/>
      <name val="Verdana"/>
      <family val="2"/>
    </font>
    <font>
      <b/>
      <sz val="10"/>
      <color rgb="FF008080"/>
      <name val="Courier New"/>
      <family val="3"/>
    </font>
    <font>
      <b/>
      <sz val="10"/>
      <color rgb="FF0066CC"/>
      <name val="Courier New"/>
      <family val="3"/>
    </font>
    <font>
      <b/>
      <sz val="10"/>
      <color rgb="FF008000"/>
      <name val="Courier New"/>
      <family val="3"/>
    </font>
    <font>
      <b/>
      <i/>
      <sz val="9"/>
      <color rgb="FF333300"/>
      <name val="Verdana"/>
      <family val="2"/>
    </font>
    <font>
      <b/>
      <i/>
      <sz val="9"/>
      <color rgb="FF008080"/>
      <name val="Verdana"/>
      <family val="2"/>
    </font>
    <font>
      <b/>
      <i/>
      <sz val="9"/>
      <color rgb="FF808000"/>
      <name val="Verdana"/>
      <family val="2"/>
    </font>
    <font>
      <b/>
      <i/>
      <sz val="9"/>
      <color rgb="FF993300"/>
      <name val="Verdana"/>
      <family val="2"/>
    </font>
    <font>
      <b/>
      <sz val="9"/>
      <color rgb="FF0000FF"/>
      <name val="Verdana"/>
      <family val="2"/>
    </font>
    <font>
      <b/>
      <sz val="9"/>
      <color rgb="FF000080"/>
      <name val="Verdana"/>
      <family val="2"/>
    </font>
    <font>
      <b/>
      <sz val="9"/>
      <color rgb="FF000000"/>
      <name val="Arial1"/>
      <family val="2"/>
    </font>
    <font>
      <b/>
      <sz val="9"/>
      <color rgb="FF000000"/>
      <name val="Arial1"/>
    </font>
    <font>
      <sz val="10"/>
      <color rgb="FF003366"/>
      <name val="Arial1"/>
      <family val="2"/>
    </font>
    <font>
      <sz val="10"/>
      <color rgb="FFCCFFFF"/>
      <name val="Arial1"/>
      <family val="2"/>
    </font>
    <font>
      <sz val="10"/>
      <color rgb="FFCCFFFF"/>
      <name val="Arial1"/>
    </font>
    <font>
      <sz val="10"/>
      <color rgb="FF99CCFF"/>
      <name val="Arial1"/>
      <family val="2"/>
    </font>
    <font>
      <sz val="10"/>
      <color rgb="FF99CCFF"/>
      <name val="Arial1"/>
    </font>
    <font>
      <sz val="10"/>
      <color rgb="FF003366"/>
      <name val="Arial1"/>
    </font>
    <font>
      <i/>
      <sz val="10"/>
      <color rgb="FF000000"/>
      <name val="Arial1"/>
      <family val="2"/>
    </font>
    <font>
      <i/>
      <sz val="10"/>
      <color rgb="FF000000"/>
      <name val="Arial1"/>
    </font>
    <font>
      <sz val="10"/>
      <color rgb="FFCCFFCC"/>
      <name val="Arial1"/>
      <family val="2"/>
    </font>
    <font>
      <sz val="10"/>
      <color rgb="FFCCFFCC"/>
      <name val="Arial1"/>
    </font>
    <font>
      <sz val="11"/>
      <color rgb="FFFF0000"/>
      <name val="Calibri2"/>
      <family val="2"/>
    </font>
    <font>
      <sz val="11"/>
      <color rgb="FFFF0000"/>
      <name val="Calibri"/>
      <family val="2"/>
    </font>
    <font>
      <i/>
      <sz val="8"/>
      <color rgb="FF808080"/>
      <name val="Arial1"/>
      <family val="2"/>
    </font>
    <font>
      <i/>
      <sz val="8"/>
      <color rgb="FF808080"/>
      <name val="Arial1"/>
    </font>
    <font>
      <b/>
      <sz val="18"/>
      <color rgb="FF3366FF"/>
      <name val="Cambria"/>
      <family val="1"/>
    </font>
    <font>
      <b/>
      <sz val="15"/>
      <color rgb="FF333399"/>
      <name val="Calibri2"/>
      <family val="2"/>
    </font>
    <font>
      <b/>
      <sz val="18"/>
      <color rgb="FF333399"/>
      <name val="Cambria"/>
      <family val="1"/>
    </font>
    <font>
      <b/>
      <sz val="15"/>
      <color rgb="FF000080"/>
      <name val="Arial1"/>
      <family val="2"/>
    </font>
    <font>
      <b/>
      <sz val="15"/>
      <color rgb="FF000080"/>
      <name val="Arial1"/>
    </font>
    <font>
      <sz val="18"/>
      <color rgb="FF666699"/>
      <name val="Calibri Light"/>
      <family val="2"/>
    </font>
    <font>
      <b/>
      <sz val="15"/>
      <color rgb="FF333399"/>
      <name val="Calibri"/>
      <family val="2"/>
    </font>
    <font>
      <b/>
      <sz val="13"/>
      <color rgb="FF333399"/>
      <name val="Calibri2"/>
      <family val="2"/>
    </font>
    <font>
      <b/>
      <sz val="18"/>
      <color rgb="FF000080"/>
      <name val="Cambria"/>
      <family val="1"/>
    </font>
    <font>
      <b/>
      <sz val="13"/>
      <color rgb="FF000080"/>
      <name val="Arial1"/>
      <family val="2"/>
    </font>
    <font>
      <b/>
      <sz val="13"/>
      <color rgb="FF000080"/>
      <name val="Arial1"/>
    </font>
    <font>
      <b/>
      <sz val="13"/>
      <color rgb="FF33CCCC"/>
      <name val="Calibri2"/>
      <family val="2"/>
    </font>
    <font>
      <b/>
      <sz val="13"/>
      <color rgb="FF33CCCC"/>
      <name val="Calibri"/>
      <family val="2"/>
    </font>
    <font>
      <b/>
      <sz val="13"/>
      <color rgb="FF333399"/>
      <name val="Calibri"/>
      <family val="2"/>
    </font>
    <font>
      <b/>
      <sz val="11"/>
      <color rgb="FF333399"/>
      <name val="Calibri2"/>
      <family val="2"/>
    </font>
    <font>
      <b/>
      <sz val="11"/>
      <color rgb="FF33CCCC"/>
      <name val="Calibri2"/>
      <family val="2"/>
    </font>
    <font>
      <b/>
      <sz val="11"/>
      <color rgb="FF33CCCC"/>
      <name val="Calibri"/>
      <family val="2"/>
    </font>
    <font>
      <b/>
      <sz val="11"/>
      <color rgb="FF000080"/>
      <name val="Arial1"/>
      <family val="2"/>
    </font>
    <font>
      <b/>
      <sz val="11"/>
      <color rgb="FF000080"/>
      <name val="Arial1"/>
    </font>
    <font>
      <b/>
      <sz val="11"/>
      <color rgb="FF333399"/>
      <name val="Calibri"/>
      <family val="2"/>
    </font>
    <font>
      <b/>
      <i/>
      <sz val="12"/>
      <color rgb="FF000000"/>
      <name val="Times New Roman2"/>
      <family val="1"/>
    </font>
    <font>
      <b/>
      <i/>
      <sz val="12"/>
      <color rgb="FF000000"/>
      <name val="Times New Roman1"/>
      <family val="1"/>
    </font>
    <font>
      <sz val="12"/>
      <color rgb="FF000000"/>
      <name val="Times New Roman2"/>
      <family val="1"/>
    </font>
    <font>
      <sz val="12"/>
      <color rgb="FF000000"/>
      <name val="Times New Roman1"/>
      <family val="1"/>
    </font>
    <font>
      <b/>
      <i/>
      <sz val="12"/>
      <color rgb="FF000000"/>
      <name val="Arial1"/>
      <family val="2"/>
    </font>
    <font>
      <b/>
      <i/>
      <sz val="12"/>
      <color rgb="FF000000"/>
      <name val="Arial1"/>
    </font>
    <font>
      <b/>
      <sz val="18"/>
      <color rgb="FF33CCCC"/>
      <name val="Cambria"/>
      <family val="1"/>
    </font>
    <font>
      <b/>
      <sz val="11"/>
      <color rgb="FF000000"/>
      <name val="Calibri2"/>
      <family val="2"/>
    </font>
    <font>
      <b/>
      <sz val="8"/>
      <color rgb="FFFFFFFF"/>
      <name val="Arial1"/>
      <family val="2"/>
    </font>
    <font>
      <b/>
      <sz val="8"/>
      <color rgb="FFFFFFFF"/>
      <name val="Arial1"/>
    </font>
    <font>
      <b/>
      <sz val="12"/>
      <color rgb="FFFFFFFF"/>
      <name val="Calibri2"/>
      <family val="2"/>
    </font>
    <font>
      <b/>
      <sz val="12"/>
      <color rgb="FFFFFFFF"/>
      <name val="Calibri"/>
      <family val="2"/>
    </font>
    <font>
      <sz val="9"/>
      <color rgb="FF000000"/>
      <name val="Times New Roman"/>
      <family val="1"/>
    </font>
    <font>
      <b/>
      <sz val="12"/>
      <color theme="0"/>
      <name val="Marianne"/>
      <family val="3"/>
    </font>
    <font>
      <i/>
      <sz val="11"/>
      <color theme="1"/>
      <name val="Calibri"/>
      <family val="2"/>
      <scheme val="minor"/>
    </font>
    <font>
      <sz val="11"/>
      <color rgb="FF273375"/>
      <name val="Calibri"/>
      <family val="2"/>
      <scheme val="minor"/>
    </font>
    <font>
      <sz val="11"/>
      <color rgb="FFADC90E"/>
      <name val="Calibri"/>
      <family val="2"/>
      <scheme val="minor"/>
    </font>
    <font>
      <b/>
      <sz val="22"/>
      <color rgb="FF273375"/>
      <name val="Marianne"/>
      <family val="3"/>
    </font>
    <font>
      <b/>
      <sz val="18"/>
      <color rgb="FF273375"/>
      <name val="Marianne"/>
      <family val="3"/>
    </font>
    <font>
      <b/>
      <sz val="18"/>
      <color theme="9" tint="-0.499984740745262"/>
      <name val="Marianne"/>
      <family val="3"/>
    </font>
    <font>
      <i/>
      <sz val="10"/>
      <color theme="1"/>
      <name val="Arial"/>
      <family val="2"/>
    </font>
    <font>
      <sz val="9"/>
      <color theme="1"/>
      <name val="Calibri"/>
      <family val="2"/>
      <scheme val="minor"/>
    </font>
    <font>
      <sz val="8"/>
      <color theme="1"/>
      <name val="Calibri"/>
      <family val="2"/>
      <scheme val="minor"/>
    </font>
    <font>
      <sz val="11"/>
      <color rgb="FF9C5700"/>
      <name val="Calibri"/>
      <family val="2"/>
      <scheme val="minor"/>
    </font>
    <font>
      <sz val="10"/>
      <color rgb="FF000000"/>
      <name val="Calibri"/>
      <family val="2"/>
    </font>
    <font>
      <b/>
      <i/>
      <sz val="16"/>
      <name val="Arial"/>
      <family val="2"/>
    </font>
    <font>
      <b/>
      <i/>
      <u/>
      <sz val="10"/>
      <name val="Arial"/>
      <family val="2"/>
    </font>
    <font>
      <i/>
      <sz val="10"/>
      <color theme="1"/>
      <name val="Calibri"/>
      <family val="2"/>
      <scheme val="minor"/>
    </font>
    <font>
      <i/>
      <sz val="9"/>
      <color theme="1"/>
      <name val="Calibri"/>
      <family val="2"/>
      <scheme val="minor"/>
    </font>
    <font>
      <sz val="1"/>
      <color theme="0"/>
      <name val="Marianne"/>
      <family val="3"/>
    </font>
    <font>
      <sz val="10"/>
      <color rgb="FFFF0000"/>
      <name val="Marianne"/>
      <family val="3"/>
    </font>
  </fonts>
  <fills count="1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bgColor indexed="64"/>
      </patternFill>
    </fill>
    <fill>
      <patternFill patternType="solid">
        <fgColor theme="4"/>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rgb="FFE95042"/>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BDC92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92C4E6"/>
        <bgColor indexed="64"/>
      </patternFill>
    </fill>
    <fill>
      <patternFill patternType="solid">
        <fgColor rgb="FFD4E5F4"/>
        <bgColor indexed="64"/>
      </patternFill>
    </fill>
    <fill>
      <patternFill patternType="solid">
        <fgColor rgb="FF0070C0"/>
        <bgColor indexed="64"/>
      </patternFill>
    </fill>
    <fill>
      <patternFill patternType="solid">
        <fgColor rgb="FFB0C8FE"/>
        <bgColor indexed="64"/>
      </patternFill>
    </fill>
    <fill>
      <patternFill patternType="solid">
        <fgColor rgb="FFC38DDB"/>
        <bgColor indexed="64"/>
      </patternFill>
    </fill>
    <fill>
      <patternFill patternType="solid">
        <fgColor rgb="FFB3A2C7"/>
        <bgColor indexed="64"/>
      </patternFill>
    </fill>
    <fill>
      <patternFill patternType="solid">
        <fgColor rgb="FFD2C846"/>
        <bgColor indexed="64"/>
      </patternFill>
    </fill>
    <fill>
      <patternFill patternType="solid">
        <fgColor rgb="FFF1EEC5"/>
        <bgColor indexed="64"/>
      </patternFill>
    </fill>
    <fill>
      <patternFill patternType="solid">
        <fgColor rgb="FFE0E5B3"/>
        <bgColor indexed="64"/>
      </patternFill>
    </fill>
    <fill>
      <patternFill patternType="solid">
        <fgColor rgb="FF92D050"/>
        <bgColor indexed="64"/>
      </patternFill>
    </fill>
    <fill>
      <patternFill patternType="solid">
        <fgColor rgb="FFF3F9E5"/>
        <bgColor indexed="64"/>
      </patternFill>
    </fill>
    <fill>
      <patternFill patternType="solid">
        <fgColor rgb="FFE9F5DB"/>
        <bgColor indexed="64"/>
      </patternFill>
    </fill>
    <fill>
      <patternFill patternType="solid">
        <fgColor rgb="FF7030A0"/>
        <bgColor indexed="64"/>
      </patternFill>
    </fill>
    <fill>
      <patternFill patternType="solid">
        <fgColor rgb="FFF8F3FB"/>
        <bgColor indexed="64"/>
      </patternFill>
    </fill>
    <fill>
      <patternFill patternType="solid">
        <fgColor rgb="FFEEE2F6"/>
        <bgColor indexed="64"/>
      </patternFill>
    </fill>
    <fill>
      <patternFill patternType="solid">
        <fgColor rgb="FF00B050"/>
        <bgColor indexed="64"/>
      </patternFill>
    </fill>
    <fill>
      <patternFill patternType="solid">
        <fgColor rgb="FFB7FFD8"/>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B873F7"/>
        <bgColor indexed="64"/>
      </patternFill>
    </fill>
    <fill>
      <patternFill patternType="solid">
        <fgColor rgb="FFD9D9D9"/>
        <bgColor rgb="FF000000"/>
      </patternFill>
    </fill>
    <fill>
      <patternFill patternType="solid">
        <fgColor rgb="FFFFFFFF"/>
        <bgColor rgb="FF000000"/>
      </patternFill>
    </fill>
    <fill>
      <patternFill patternType="solid">
        <fgColor rgb="FF0070C0"/>
        <bgColor rgb="FF000000"/>
      </patternFill>
    </fill>
    <fill>
      <patternFill patternType="solid">
        <fgColor theme="4" tint="0.399975585192419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9"/>
        <bgColor indexed="64"/>
      </patternFill>
    </fill>
    <fill>
      <patternFill patternType="solid">
        <fgColor rgb="FFCCFFCC"/>
        <bgColor rgb="FFCCFFCC"/>
      </patternFill>
    </fill>
    <fill>
      <patternFill patternType="solid">
        <fgColor rgb="FF00FF00"/>
        <bgColor rgb="FF00FF00"/>
      </patternFill>
    </fill>
    <fill>
      <patternFill patternType="solid">
        <fgColor rgb="FFFF0000"/>
        <bgColor rgb="FFFF0000"/>
      </patternFill>
    </fill>
    <fill>
      <patternFill patternType="solid">
        <fgColor rgb="FFC0C0C0"/>
        <bgColor rgb="FFC0C0C0"/>
      </patternFill>
    </fill>
    <fill>
      <patternFill patternType="solid">
        <fgColor rgb="FFFFCC99"/>
        <bgColor rgb="FFFFCC99"/>
      </patternFill>
    </fill>
    <fill>
      <patternFill patternType="solid">
        <fgColor rgb="FF800000"/>
        <bgColor rgb="FF800000"/>
      </patternFill>
    </fill>
    <fill>
      <patternFill patternType="solid">
        <fgColor rgb="FFCCCCFF"/>
        <bgColor rgb="FFCCCCFF"/>
      </patternFill>
    </fill>
    <fill>
      <patternFill patternType="solid">
        <fgColor rgb="FFFFFFFF"/>
        <bgColor rgb="FFFFFFFF"/>
      </patternFill>
    </fill>
    <fill>
      <patternFill patternType="solid">
        <fgColor rgb="FFFF99CC"/>
        <bgColor rgb="FFFF99CC"/>
      </patternFill>
    </fill>
    <fill>
      <patternFill patternType="solid">
        <fgColor rgb="FFFFFF00"/>
        <bgColor rgb="FFFFFF00"/>
      </patternFill>
    </fill>
    <fill>
      <patternFill patternType="solid">
        <fgColor rgb="FFCC99FF"/>
        <bgColor rgb="FFCC99FF"/>
      </patternFill>
    </fill>
    <fill>
      <patternFill patternType="solid">
        <fgColor rgb="FF003366"/>
        <bgColor rgb="FF003366"/>
      </patternFill>
    </fill>
    <fill>
      <patternFill patternType="solid">
        <fgColor rgb="FFCCFFFF"/>
        <bgColor rgb="FFCCFFFF"/>
      </patternFill>
    </fill>
    <fill>
      <patternFill patternType="solid">
        <fgColor rgb="FFFF6600"/>
        <bgColor rgb="FFFF6600"/>
      </patternFill>
    </fill>
    <fill>
      <patternFill patternType="solid">
        <fgColor rgb="FF99CCFF"/>
        <bgColor rgb="FF99CCFF"/>
      </patternFill>
    </fill>
    <fill>
      <patternFill patternType="solid">
        <fgColor rgb="FFFF8080"/>
        <bgColor rgb="FFFF8080"/>
      </patternFill>
    </fill>
    <fill>
      <patternFill patternType="solid">
        <fgColor rgb="FFFFFF99"/>
        <bgColor rgb="FFFFFF99"/>
      </patternFill>
    </fill>
    <fill>
      <patternFill patternType="solid">
        <fgColor rgb="FFFFCC00"/>
        <bgColor rgb="FFFFCC00"/>
      </patternFill>
    </fill>
    <fill>
      <patternFill patternType="solid">
        <fgColor rgb="FF008080"/>
        <bgColor rgb="FF008080"/>
      </patternFill>
    </fill>
    <fill>
      <patternFill patternType="solid">
        <fgColor rgb="FF808000"/>
        <bgColor rgb="FF808000"/>
      </patternFill>
    </fill>
    <fill>
      <patternFill patternType="solid">
        <fgColor rgb="FF33CCCC"/>
        <bgColor rgb="FF33CCCC"/>
      </patternFill>
    </fill>
    <fill>
      <patternFill patternType="solid">
        <fgColor rgb="FF800080"/>
        <bgColor rgb="FF800080"/>
      </patternFill>
    </fill>
    <fill>
      <patternFill patternType="solid">
        <fgColor rgb="FFFF9900"/>
        <bgColor rgb="FFFF9900"/>
      </patternFill>
    </fill>
    <fill>
      <patternFill patternType="solid">
        <fgColor rgb="FF0066CC"/>
        <bgColor rgb="FF0066CC"/>
      </patternFill>
    </fill>
    <fill>
      <patternFill patternType="solid">
        <fgColor rgb="FF993300"/>
        <bgColor rgb="FF993300"/>
      </patternFill>
    </fill>
    <fill>
      <patternFill patternType="solid">
        <fgColor rgb="FF333399"/>
        <bgColor rgb="FF333399"/>
      </patternFill>
    </fill>
    <fill>
      <patternFill patternType="solid">
        <fgColor rgb="FF339966"/>
        <bgColor rgb="FF339966"/>
      </patternFill>
    </fill>
    <fill>
      <patternFill patternType="solid">
        <fgColor rgb="FF3366FF"/>
        <bgColor rgb="FF3366FF"/>
      </patternFill>
    </fill>
    <fill>
      <patternFill patternType="solid">
        <fgColor rgb="FF969696"/>
        <bgColor rgb="FF969696"/>
      </patternFill>
    </fill>
    <fill>
      <patternFill patternType="solid">
        <fgColor rgb="FF993366"/>
        <bgColor rgb="FF993366"/>
      </patternFill>
    </fill>
    <fill>
      <patternFill patternType="solid">
        <fgColor rgb="FFFF00FF"/>
        <bgColor rgb="FFFF00FF"/>
      </patternFill>
    </fill>
    <fill>
      <patternFill patternType="solid">
        <fgColor rgb="FFCFAA90"/>
        <bgColor rgb="FFCFAA90"/>
      </patternFill>
    </fill>
    <fill>
      <patternFill patternType="solid">
        <fgColor rgb="FF660066"/>
        <bgColor rgb="FF660066"/>
      </patternFill>
    </fill>
    <fill>
      <patternFill patternType="solid">
        <fgColor rgb="FFFFFFCC"/>
        <bgColor rgb="FFFFFFCC"/>
      </patternFill>
    </fill>
    <fill>
      <patternFill patternType="solid">
        <fgColor rgb="FF99CC00"/>
        <bgColor rgb="FF99CC00"/>
      </patternFill>
    </fill>
    <fill>
      <patternFill patternType="solid">
        <fgColor rgb="FF008000"/>
        <bgColor rgb="FF008000"/>
      </patternFill>
    </fill>
    <fill>
      <patternFill patternType="solid">
        <fgColor rgb="FF000080"/>
        <bgColor rgb="FF000080"/>
      </patternFill>
    </fill>
    <fill>
      <patternFill patternType="solid">
        <fgColor rgb="FF003300"/>
        <bgColor rgb="FF003300"/>
      </patternFill>
    </fill>
    <fill>
      <patternFill patternType="solid">
        <fgColor rgb="FF0000FF"/>
        <bgColor rgb="FF0000FF"/>
      </patternFill>
    </fill>
    <fill>
      <patternFill patternType="solid">
        <fgColor rgb="FF333333"/>
        <bgColor rgb="FF333333"/>
      </patternFill>
    </fill>
    <fill>
      <patternFill patternType="solid">
        <fgColor rgb="FF008020"/>
        <bgColor rgb="FF008020"/>
      </patternFill>
    </fill>
    <fill>
      <patternFill patternType="solid">
        <fgColor rgb="FF99BF25"/>
        <bgColor rgb="FF99BF25"/>
      </patternFill>
    </fill>
    <fill>
      <patternFill patternType="solid">
        <fgColor rgb="FF4CA640"/>
        <bgColor rgb="FF4CA640"/>
      </patternFill>
    </fill>
    <fill>
      <patternFill patternType="solid">
        <fgColor rgb="FF00FFFF"/>
        <bgColor rgb="FF00FFFF"/>
      </patternFill>
    </fill>
    <fill>
      <patternFill patternType="solid">
        <fgColor rgb="FF00CCFF"/>
        <bgColor rgb="FF00CCFF"/>
      </patternFill>
    </fill>
    <fill>
      <patternFill patternType="solid">
        <fgColor rgb="FF333300"/>
        <bgColor rgb="FF333300"/>
      </patternFill>
    </fill>
    <fill>
      <patternFill patternType="solid">
        <fgColor rgb="FF808020"/>
        <bgColor rgb="FF808020"/>
      </patternFill>
    </fill>
    <fill>
      <patternFill patternType="solid">
        <fgColor rgb="FF666699"/>
        <bgColor rgb="FF666699"/>
      </patternFill>
    </fill>
    <fill>
      <patternFill patternType="solid">
        <fgColor rgb="FFE6E6FF"/>
        <bgColor rgb="FFE6E6FF"/>
      </patternFill>
    </fill>
    <fill>
      <patternFill patternType="solid">
        <fgColor rgb="FFCCE6FF"/>
        <bgColor rgb="FFCCE6FF"/>
      </patternFill>
    </fill>
    <fill>
      <patternFill patternType="solid">
        <fgColor rgb="FFFFC0C0"/>
        <bgColor rgb="FFFFC0C0"/>
      </patternFill>
    </fill>
    <fill>
      <patternFill patternType="solid">
        <fgColor rgb="FFC6C6E0"/>
        <bgColor rgb="FFC6C6E0"/>
      </patternFill>
    </fill>
    <fill>
      <patternFill patternType="solid">
        <fgColor rgb="FF309090"/>
        <bgColor rgb="FF309090"/>
      </patternFill>
    </fill>
    <fill>
      <patternFill patternType="solid">
        <fgColor rgb="FF00939C"/>
        <bgColor indexed="64"/>
      </patternFill>
    </fill>
    <fill>
      <patternFill patternType="solid">
        <fgColor rgb="FF273375"/>
        <bgColor indexed="64"/>
      </patternFill>
    </fill>
    <fill>
      <patternFill patternType="solid">
        <fgColor rgb="FFADC90E"/>
        <bgColor indexed="64"/>
      </patternFill>
    </fill>
    <fill>
      <patternFill patternType="solid">
        <fgColor theme="9" tint="-0.499984740745262"/>
        <bgColor indexed="64"/>
      </patternFill>
    </fill>
    <fill>
      <patternFill patternType="solid">
        <fgColor theme="0" tint="-0.14999847407452621"/>
        <bgColor rgb="FF000000"/>
      </patternFill>
    </fill>
  </fills>
  <borders count="1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top style="medium">
        <color theme="1"/>
      </top>
      <bottom/>
      <diagonal/>
    </border>
    <border>
      <left/>
      <right/>
      <top/>
      <bottom style="medium">
        <color theme="1"/>
      </bottom>
      <diagonal/>
    </border>
    <border>
      <left style="thin">
        <color indexed="64"/>
      </left>
      <right/>
      <top/>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top/>
      <bottom style="thin">
        <color indexed="64"/>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top style="thin">
        <color theme="1"/>
      </top>
      <bottom/>
      <diagonal/>
    </border>
    <border>
      <left style="medium">
        <color rgb="FF000000"/>
      </left>
      <right style="thin">
        <color theme="1"/>
      </right>
      <top style="thin">
        <color theme="1"/>
      </top>
      <bottom style="thin">
        <color theme="1"/>
      </bottom>
      <diagonal/>
    </border>
    <border>
      <left style="thin">
        <color theme="1"/>
      </left>
      <right style="medium">
        <color rgb="FF000000"/>
      </right>
      <top style="thin">
        <color theme="1"/>
      </top>
      <bottom style="thin">
        <color theme="1"/>
      </bottom>
      <diagonal/>
    </border>
    <border>
      <left/>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top style="medium">
        <color indexed="64"/>
      </top>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right/>
      <top style="thin">
        <color theme="1"/>
      </top>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thin">
        <color rgb="FF808080"/>
      </left>
      <right style="thin">
        <color rgb="FF808080"/>
      </right>
      <top style="thin">
        <color rgb="FF808080"/>
      </top>
      <bottom style="thin">
        <color rgb="FF808080"/>
      </bottom>
      <diagonal/>
    </border>
    <border>
      <left style="double">
        <color rgb="FF000000"/>
      </left>
      <right style="double">
        <color rgb="FF000000"/>
      </right>
      <top style="double">
        <color rgb="FF000000"/>
      </top>
      <bottom style="double">
        <color rgb="FF000000"/>
      </bottom>
      <diagonal/>
    </border>
    <border>
      <left/>
      <right/>
      <top/>
      <bottom style="double">
        <color rgb="FF000000"/>
      </bottom>
      <diagonal/>
    </border>
    <border>
      <left style="dashed">
        <color rgb="FFFF8080"/>
      </left>
      <right style="dashed">
        <color rgb="FFFF8080"/>
      </right>
      <top style="dashed">
        <color rgb="FFFF8080"/>
      </top>
      <bottom style="dashed">
        <color rgb="FFFF8080"/>
      </bottom>
      <diagonal/>
    </border>
    <border diagonalUp="1" diagonalDown="1">
      <left style="dashed">
        <color rgb="FF000000"/>
      </left>
      <right style="dashed">
        <color rgb="FF000000"/>
      </right>
      <top style="dashed">
        <color rgb="FF000000"/>
      </top>
      <bottom style="dashed">
        <color rgb="FF000000"/>
      </bottom>
      <diagonal style="medium">
        <color rgb="FFFF8080"/>
      </diagonal>
    </border>
    <border diagonalUp="1" diagonalDown="1">
      <left style="dashed">
        <color rgb="FF000000"/>
      </left>
      <right style="dashed">
        <color rgb="FF000000"/>
      </right>
      <top style="dashed">
        <color rgb="FF000000"/>
      </top>
      <bottom style="dashed">
        <color rgb="FF000000"/>
      </bottom>
      <diagonal style="medium">
        <color rgb="FF339966"/>
      </diagonal>
    </border>
    <border diagonalUp="1" diagonalDown="1">
      <left style="dashed">
        <color rgb="FF000000"/>
      </left>
      <right style="dashed">
        <color rgb="FF000000"/>
      </right>
      <top style="dashed">
        <color rgb="FF000000"/>
      </top>
      <bottom style="dashed">
        <color rgb="FF000000"/>
      </bottom>
      <diagonal style="medium">
        <color rgb="FF008080"/>
      </diagonal>
    </border>
    <border diagonalUp="1" diagonalDown="1">
      <left style="dashed">
        <color rgb="FF000000"/>
      </left>
      <right style="dashed">
        <color rgb="FF000000"/>
      </right>
      <top style="dashed">
        <color rgb="FF000000"/>
      </top>
      <bottom style="dashed">
        <color rgb="FF000000"/>
      </bottom>
      <diagonal style="medium">
        <color rgb="FF666699"/>
      </diagonal>
    </border>
    <border>
      <left style="dashed">
        <color rgb="FF339966"/>
      </left>
      <right style="dashed">
        <color rgb="FF339966"/>
      </right>
      <top style="dashed">
        <color rgb="FF339966"/>
      </top>
      <bottom style="dashed">
        <color rgb="FF339966"/>
      </bottom>
      <diagonal/>
    </border>
    <border>
      <left style="dashed">
        <color rgb="FF008080"/>
      </left>
      <right style="dashed">
        <color rgb="FF008080"/>
      </right>
      <top style="dashed">
        <color rgb="FF008080"/>
      </top>
      <bottom style="dashed">
        <color rgb="FF008080"/>
      </bottom>
      <diagonal/>
    </border>
    <border>
      <left style="dashed">
        <color rgb="FF666699"/>
      </left>
      <right style="dashed">
        <color rgb="FF666699"/>
      </right>
      <top style="dashed">
        <color rgb="FF666699"/>
      </top>
      <bottom style="dashed">
        <color rgb="FF666699"/>
      </bottom>
      <diagonal/>
    </border>
    <border>
      <left style="thin">
        <color rgb="FF000000"/>
      </left>
      <right style="dotted">
        <color rgb="FF000000"/>
      </right>
      <top style="thin">
        <color rgb="FF000000"/>
      </top>
      <bottom style="thin">
        <color rgb="FF000000"/>
      </bottom>
      <diagonal/>
    </border>
    <border>
      <left/>
      <right style="double">
        <color indexed="64"/>
      </right>
      <top style="thin">
        <color rgb="FF000000"/>
      </top>
      <bottom style="thin">
        <color rgb="FF000000"/>
      </bottom>
      <diagonal/>
    </border>
    <border>
      <left/>
      <right style="double">
        <color rgb="FF000000"/>
      </right>
      <top style="thin">
        <color rgb="FF000000"/>
      </top>
      <bottom style="thin">
        <color rgb="FF000000"/>
      </bottom>
      <diagonal/>
    </border>
    <border diagonalUp="1" diagonalDown="1">
      <left style="double">
        <color indexed="64"/>
      </left>
      <right style="double">
        <color indexed="64"/>
      </right>
      <top style="double">
        <color indexed="64"/>
      </top>
      <bottom style="double">
        <color indexed="64"/>
      </bottom>
      <diagonal style="medium">
        <color rgb="FF000000"/>
      </diagonal>
    </border>
    <border diagonalUp="1" diagonalDown="1">
      <left style="double">
        <color rgb="FF000000"/>
      </left>
      <right style="double">
        <color rgb="FF000000"/>
      </right>
      <top style="double">
        <color rgb="FF000000"/>
      </top>
      <bottom style="double">
        <color rgb="FF000000"/>
      </bottom>
      <diagonal style="medium">
        <color rgb="FF000000"/>
      </diagonal>
    </border>
    <border diagonalUp="1" diagonalDown="1">
      <left/>
      <right/>
      <top/>
      <bottom/>
      <diagonal style="medium">
        <color rgb="FF000000"/>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66CC"/>
      </left>
      <right style="thin">
        <color rgb="FF0066CC"/>
      </right>
      <top style="thin">
        <color rgb="FF0066CC"/>
      </top>
      <bottom style="thin">
        <color rgb="FF0066CC"/>
      </bottom>
      <diagonal/>
    </border>
    <border>
      <left style="thin">
        <color rgb="FF008080"/>
      </left>
      <right style="thin">
        <color rgb="FF008080"/>
      </right>
      <top style="thin">
        <color rgb="FF008080"/>
      </top>
      <bottom style="thin">
        <color rgb="FF008080"/>
      </bottom>
      <diagonal/>
    </border>
    <border>
      <left style="thin">
        <color rgb="FFC0C0C0"/>
      </left>
      <right style="thin">
        <color rgb="FFC0C0C0"/>
      </right>
      <top style="thin">
        <color rgb="FFC0C0C0"/>
      </top>
      <bottom style="thin">
        <color rgb="FFC0C0C0"/>
      </bottom>
      <diagonal/>
    </border>
    <border>
      <left style="thin">
        <color rgb="FF333399"/>
      </left>
      <right style="thin">
        <color rgb="FF333399"/>
      </right>
      <top style="thin">
        <color rgb="FF333399"/>
      </top>
      <bottom style="thin">
        <color rgb="FF333399"/>
      </bottom>
      <diagonal/>
    </border>
    <border>
      <left style="thin">
        <color rgb="FF3366FF"/>
      </left>
      <right style="thin">
        <color rgb="FF3366FF"/>
      </right>
      <top style="thin">
        <color rgb="FF3366FF"/>
      </top>
      <bottom style="thin">
        <color rgb="FF3366FF"/>
      </bottom>
      <diagonal/>
    </border>
    <border>
      <left/>
      <right/>
      <top/>
      <bottom style="medium">
        <color rgb="FF333399"/>
      </bottom>
      <diagonal/>
    </border>
    <border>
      <left/>
      <right/>
      <top/>
      <bottom style="medium">
        <color rgb="FFC0C0C0"/>
      </bottom>
      <diagonal/>
    </border>
    <border>
      <left/>
      <right/>
      <top/>
      <bottom style="thin">
        <color rgb="FF0066CC"/>
      </bottom>
      <diagonal/>
    </border>
    <border>
      <left style="thin">
        <color rgb="FF333333"/>
      </left>
      <right style="thin">
        <color rgb="FF333333"/>
      </right>
      <top style="thin">
        <color rgb="FF333333"/>
      </top>
      <bottom style="thin">
        <color rgb="FF333333"/>
      </bottom>
      <diagonal/>
    </border>
    <border>
      <left style="thin">
        <color rgb="FFFF6600"/>
      </left>
      <right style="thin">
        <color rgb="FFFF6600"/>
      </right>
      <top style="thin">
        <color rgb="FFFF6600"/>
      </top>
      <bottom style="thin">
        <color rgb="FFFF6600"/>
      </bottom>
      <diagonal/>
    </border>
    <border>
      <left style="medium">
        <color rgb="FFFF0000"/>
      </left>
      <right style="medium">
        <color rgb="FFFF0000"/>
      </right>
      <top style="thin">
        <color rgb="FFFF0000"/>
      </top>
      <bottom style="thin">
        <color rgb="FFFF0000"/>
      </bottom>
      <diagonal/>
    </border>
    <border>
      <left style="thin">
        <color rgb="FF9999FF"/>
      </left>
      <right style="thin">
        <color rgb="FF9999FF"/>
      </right>
      <top style="thin">
        <color rgb="FF9999FF"/>
      </top>
      <bottom style="thin">
        <color rgb="FF9999FF"/>
      </bottom>
      <diagonal/>
    </border>
    <border>
      <left style="thin">
        <color rgb="FF000000"/>
      </left>
      <right/>
      <top style="thin">
        <color rgb="FF000000"/>
      </top>
      <bottom style="thin">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bottom style="medium">
        <color rgb="FF33CCCC"/>
      </bottom>
      <diagonal/>
    </border>
    <border>
      <left/>
      <right/>
      <top/>
      <bottom style="thin">
        <color rgb="FF33CCCC"/>
      </bottom>
      <diagonal/>
    </border>
    <border>
      <left/>
      <right/>
      <top/>
      <bottom style="thin">
        <color rgb="FF008080"/>
      </bottom>
      <diagonal/>
    </border>
    <border>
      <left/>
      <right/>
      <top style="double">
        <color rgb="FF000000"/>
      </top>
      <bottom/>
      <diagonal/>
    </border>
    <border>
      <left/>
      <right/>
      <top style="thin">
        <color rgb="FF333399"/>
      </top>
      <bottom style="double">
        <color indexed="64"/>
      </bottom>
      <diagonal/>
    </border>
    <border>
      <left/>
      <right/>
      <top style="thin">
        <color rgb="FF333399"/>
      </top>
      <bottom style="double">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rgb="FF273375"/>
      </top>
      <bottom style="thin">
        <color indexed="64"/>
      </bottom>
      <diagonal/>
    </border>
    <border>
      <left/>
      <right/>
      <top/>
      <bottom style="thick">
        <color rgb="FF273375"/>
      </bottom>
      <diagonal/>
    </border>
    <border>
      <left/>
      <right/>
      <top/>
      <bottom style="thick">
        <color theme="9" tint="-0.499984740745262"/>
      </bottom>
      <diagonal/>
    </border>
    <border>
      <left style="medium">
        <color rgb="FF000000"/>
      </left>
      <right style="thin">
        <color theme="1"/>
      </right>
      <top style="thin">
        <color theme="1"/>
      </top>
      <bottom style="medium">
        <color rgb="FF000000"/>
      </bottom>
      <diagonal/>
    </border>
    <border>
      <left style="thin">
        <color theme="1"/>
      </left>
      <right style="thin">
        <color theme="1"/>
      </right>
      <top style="thin">
        <color theme="1"/>
      </top>
      <bottom style="medium">
        <color rgb="FF000000"/>
      </bottom>
      <diagonal/>
    </border>
    <border>
      <left style="thin">
        <color theme="1"/>
      </left>
      <right style="medium">
        <color rgb="FF000000"/>
      </right>
      <top style="thin">
        <color theme="1"/>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theme="1"/>
      </right>
      <top/>
      <bottom style="thin">
        <color theme="1"/>
      </bottom>
      <diagonal/>
    </border>
    <border>
      <left style="thin">
        <color theme="1"/>
      </left>
      <right style="medium">
        <color rgb="FF000000"/>
      </right>
      <top/>
      <bottom style="thin">
        <color theme="1"/>
      </bottom>
      <diagonal/>
    </border>
    <border>
      <left style="medium">
        <color indexed="64"/>
      </left>
      <right style="thin">
        <color theme="1"/>
      </right>
      <top style="thin">
        <color theme="1"/>
      </top>
      <bottom/>
      <diagonal/>
    </border>
    <border>
      <left style="thin">
        <color theme="1"/>
      </left>
      <right style="medium">
        <color indexed="64"/>
      </right>
      <top style="thin">
        <color theme="1"/>
      </top>
      <bottom/>
      <diagonal/>
    </border>
    <border>
      <left/>
      <right/>
      <top style="thin">
        <color theme="1"/>
      </top>
      <bottom style="thin">
        <color theme="1"/>
      </bottom>
      <diagonal/>
    </border>
  </borders>
  <cellStyleXfs count="3545">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xf numFmtId="3" fontId="17" fillId="0" borderId="0" applyFont="0" applyFill="0" applyBorder="0" applyAlignment="0" applyProtection="0"/>
    <xf numFmtId="9" fontId="17" fillId="0" borderId="0" applyFont="0" applyFill="0" applyBorder="0" applyAlignment="0" applyProtection="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7" fillId="0" borderId="0"/>
    <xf numFmtId="0" fontId="1" fillId="0" borderId="0"/>
    <xf numFmtId="0" fontId="17" fillId="0" borderId="0"/>
    <xf numFmtId="3" fontId="17" fillId="0" borderId="0" applyFont="0" applyFill="0" applyBorder="0" applyAlignment="0" applyProtection="0"/>
    <xf numFmtId="9" fontId="17" fillId="0" borderId="0" applyFont="0" applyFill="0" applyBorder="0" applyAlignment="0" applyProtection="0"/>
    <xf numFmtId="0" fontId="1" fillId="0" borderId="0"/>
    <xf numFmtId="0" fontId="17" fillId="0" borderId="0"/>
    <xf numFmtId="3" fontId="17" fillId="0" borderId="0" applyFont="0" applyFill="0" applyBorder="0" applyAlignment="0" applyProtection="0"/>
    <xf numFmtId="9" fontId="17" fillId="0" borderId="0" applyFont="0" applyFill="0" applyBorder="0" applyAlignment="0" applyProtection="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 fillId="0" borderId="0"/>
    <xf numFmtId="0" fontId="19" fillId="0" borderId="0" applyNumberFormat="0" applyFill="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3" fontId="17" fillId="0" borderId="0" applyFont="0" applyFill="0" applyBorder="0" applyAlignment="0" applyProtection="0"/>
    <xf numFmtId="0" fontId="1" fillId="0" borderId="0"/>
    <xf numFmtId="0" fontId="17" fillId="0" borderId="0"/>
    <xf numFmtId="9" fontId="17" fillId="0" borderId="0" applyFont="0" applyFill="0" applyBorder="0" applyAlignment="0" applyProtection="0"/>
    <xf numFmtId="0" fontId="1" fillId="0" borderId="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20"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1" fillId="0" borderId="0"/>
    <xf numFmtId="167" fontId="1" fillId="0" borderId="0" applyFont="0" applyFill="0" applyBorder="0" applyAlignment="0" applyProtection="0"/>
    <xf numFmtId="0" fontId="43" fillId="0" borderId="0"/>
    <xf numFmtId="171" fontId="43" fillId="0" borderId="0" applyBorder="0" applyProtection="0"/>
    <xf numFmtId="171" fontId="43" fillId="0" borderId="0" applyBorder="0" applyProtection="0"/>
    <xf numFmtId="0" fontId="43" fillId="0" borderId="0"/>
    <xf numFmtId="0" fontId="1" fillId="0" borderId="0"/>
    <xf numFmtId="9" fontId="1" fillId="0" borderId="0" applyFont="0" applyFill="0" applyBorder="0" applyAlignment="0" applyProtection="0"/>
    <xf numFmtId="0" fontId="43" fillId="0" borderId="0"/>
    <xf numFmtId="0" fontId="20" fillId="0" borderId="0" applyNumberFormat="0" applyFill="0" applyBorder="0" applyAlignment="0" applyProtection="0"/>
    <xf numFmtId="0" fontId="69" fillId="0" borderId="0" applyNumberFormat="0" applyBorder="0" applyProtection="0"/>
    <xf numFmtId="0" fontId="78" fillId="75" borderId="0"/>
    <xf numFmtId="0" fontId="78" fillId="75" borderId="0"/>
    <xf numFmtId="0" fontId="78" fillId="75" borderId="0"/>
    <xf numFmtId="0" fontId="79" fillId="75" borderId="0" applyNumberFormat="0" applyBorder="0" applyProtection="0"/>
    <xf numFmtId="0" fontId="78" fillId="75" borderId="0"/>
    <xf numFmtId="0" fontId="78" fillId="75" borderId="0"/>
    <xf numFmtId="0" fontId="79" fillId="75" borderId="0" applyNumberFormat="0" applyBorder="0" applyProtection="0"/>
    <xf numFmtId="0" fontId="78" fillId="75" borderId="0"/>
    <xf numFmtId="0" fontId="78" fillId="75" borderId="0"/>
    <xf numFmtId="0" fontId="79" fillId="75" borderId="0" applyNumberFormat="0" applyBorder="0" applyProtection="0"/>
    <xf numFmtId="0" fontId="78" fillId="75" borderId="0"/>
    <xf numFmtId="0" fontId="79" fillId="75" borderId="0" applyNumberFormat="0" applyBorder="0" applyProtection="0"/>
    <xf numFmtId="0" fontId="78" fillId="76" borderId="0"/>
    <xf numFmtId="0" fontId="78" fillId="76" borderId="0"/>
    <xf numFmtId="0" fontId="78" fillId="76" borderId="0"/>
    <xf numFmtId="0" fontId="79" fillId="76" borderId="0" applyNumberFormat="0" applyBorder="0" applyProtection="0"/>
    <xf numFmtId="0" fontId="78" fillId="76" borderId="0"/>
    <xf numFmtId="0" fontId="79" fillId="76" borderId="0" applyNumberFormat="0" applyBorder="0" applyProtection="0"/>
    <xf numFmtId="0" fontId="78" fillId="77" borderId="0"/>
    <xf numFmtId="0" fontId="78" fillId="77" borderId="0"/>
    <xf numFmtId="0" fontId="78" fillId="77" borderId="0"/>
    <xf numFmtId="0" fontId="79" fillId="77" borderId="0" applyNumberFormat="0" applyBorder="0" applyProtection="0"/>
    <xf numFmtId="0" fontId="78" fillId="77" borderId="0"/>
    <xf numFmtId="0" fontId="78" fillId="77" borderId="0"/>
    <xf numFmtId="0" fontId="79" fillId="77" borderId="0" applyNumberFormat="0" applyBorder="0" applyProtection="0"/>
    <xf numFmtId="0" fontId="78" fillId="77" borderId="0"/>
    <xf numFmtId="0" fontId="78" fillId="77" borderId="0"/>
    <xf numFmtId="0" fontId="79" fillId="77" borderId="0" applyNumberFormat="0" applyBorder="0" applyProtection="0"/>
    <xf numFmtId="0" fontId="78" fillId="77" borderId="0"/>
    <xf numFmtId="0" fontId="79" fillId="77" borderId="0" applyNumberFormat="0" applyBorder="0" applyProtection="0"/>
    <xf numFmtId="0" fontId="78" fillId="78" borderId="0"/>
    <xf numFmtId="0" fontId="78" fillId="79" borderId="0"/>
    <xf numFmtId="0" fontId="78" fillId="79" borderId="0"/>
    <xf numFmtId="0" fontId="79" fillId="79" borderId="0" applyNumberFormat="0" applyBorder="0" applyProtection="0"/>
    <xf numFmtId="0" fontId="78" fillId="80" borderId="0"/>
    <xf numFmtId="0" fontId="78" fillId="80" borderId="0"/>
    <xf numFmtId="0" fontId="79" fillId="80" borderId="0" applyNumberFormat="0" applyBorder="0" applyProtection="0"/>
    <xf numFmtId="0" fontId="80" fillId="81" borderId="0"/>
    <xf numFmtId="0" fontId="81" fillId="81" borderId="0"/>
    <xf numFmtId="0" fontId="81" fillId="81" borderId="0" applyNumberFormat="0" applyBorder="0" applyProtection="0"/>
    <xf numFmtId="0" fontId="78" fillId="78" borderId="0"/>
    <xf numFmtId="0" fontId="79" fillId="78" borderId="0" applyNumberFormat="0" applyBorder="0" applyProtection="0"/>
    <xf numFmtId="0" fontId="82" fillId="82" borderId="0"/>
    <xf numFmtId="0" fontId="83" fillId="82" borderId="0"/>
    <xf numFmtId="0" fontId="84" fillId="81" borderId="0" applyNumberFormat="0" applyBorder="0" applyProtection="0"/>
    <xf numFmtId="0" fontId="83" fillId="82" borderId="0" applyNumberFormat="0" applyBorder="0" applyProtection="0"/>
    <xf numFmtId="0" fontId="82" fillId="80" borderId="0"/>
    <xf numFmtId="0" fontId="83" fillId="80" borderId="0"/>
    <xf numFmtId="0" fontId="84" fillId="83" borderId="0" applyNumberFormat="0" applyBorder="0" applyProtection="0"/>
    <xf numFmtId="0" fontId="83" fillId="80" borderId="0" applyNumberFormat="0" applyBorder="0" applyProtection="0"/>
    <xf numFmtId="0" fontId="82" fillId="84" borderId="0"/>
    <xf numFmtId="0" fontId="83" fillId="84" borderId="0"/>
    <xf numFmtId="0" fontId="84" fillId="75" borderId="0" applyNumberFormat="0" applyBorder="0" applyProtection="0"/>
    <xf numFmtId="0" fontId="83" fillId="84" borderId="0" applyNumberFormat="0" applyBorder="0" applyProtection="0"/>
    <xf numFmtId="0" fontId="82" fillId="82" borderId="0"/>
    <xf numFmtId="0" fontId="83" fillId="82" borderId="0"/>
    <xf numFmtId="0" fontId="84" fillId="85" borderId="0" applyNumberFormat="0" applyBorder="0" applyProtection="0"/>
    <xf numFmtId="0" fontId="83" fillId="82" borderId="0" applyNumberFormat="0" applyBorder="0" applyProtection="0"/>
    <xf numFmtId="0" fontId="82" fillId="86" borderId="0"/>
    <xf numFmtId="0" fontId="83" fillId="86" borderId="0"/>
    <xf numFmtId="0" fontId="84" fillId="87" borderId="0" applyNumberFormat="0" applyBorder="0" applyProtection="0"/>
    <xf numFmtId="0" fontId="83" fillId="86" borderId="0" applyNumberFormat="0" applyBorder="0" applyProtection="0"/>
    <xf numFmtId="0" fontId="82" fillId="80" borderId="0"/>
    <xf numFmtId="0" fontId="83" fillId="80" borderId="0"/>
    <xf numFmtId="0" fontId="84" fillId="79" borderId="0" applyNumberFormat="0" applyBorder="0" applyProtection="0"/>
    <xf numFmtId="0" fontId="83" fillId="80" borderId="0" applyNumberFormat="0" applyBorder="0" applyProtection="0"/>
    <xf numFmtId="0" fontId="85" fillId="81" borderId="0"/>
    <xf numFmtId="0" fontId="85" fillId="81" borderId="0"/>
    <xf numFmtId="0" fontId="84" fillId="81" borderId="0" applyNumberFormat="0" applyBorder="0" applyProtection="0"/>
    <xf numFmtId="0" fontId="85" fillId="83" borderId="0"/>
    <xf numFmtId="0" fontId="85" fillId="83" borderId="0"/>
    <xf numFmtId="0" fontId="84" fillId="83" borderId="0" applyNumberFormat="0" applyBorder="0" applyProtection="0"/>
    <xf numFmtId="0" fontId="85" fillId="75" borderId="0"/>
    <xf numFmtId="0" fontId="85" fillId="75" borderId="0"/>
    <xf numFmtId="0" fontId="84" fillId="75" borderId="0" applyNumberFormat="0" applyBorder="0" applyProtection="0"/>
    <xf numFmtId="0" fontId="85" fillId="85" borderId="0"/>
    <xf numFmtId="0" fontId="85" fillId="85" borderId="0"/>
    <xf numFmtId="0" fontId="84" fillId="85" borderId="0" applyNumberFormat="0" applyBorder="0" applyProtection="0"/>
    <xf numFmtId="0" fontId="85" fillId="87" borderId="0"/>
    <xf numFmtId="0" fontId="85" fillId="87" borderId="0"/>
    <xf numFmtId="0" fontId="84" fillId="87" borderId="0" applyNumberFormat="0" applyBorder="0" applyProtection="0"/>
    <xf numFmtId="0" fontId="85" fillId="79" borderId="0"/>
    <xf numFmtId="0" fontId="85" fillId="79" borderId="0"/>
    <xf numFmtId="0" fontId="84" fillId="79" borderId="0" applyNumberFormat="0" applyBorder="0" applyProtection="0"/>
    <xf numFmtId="0" fontId="86" fillId="81" borderId="0"/>
    <xf numFmtId="0" fontId="87" fillId="81" borderId="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86" fillId="88" borderId="0"/>
    <xf numFmtId="0" fontId="87" fillId="88" borderId="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86" fillId="75" borderId="0"/>
    <xf numFmtId="0" fontId="87" fillId="75" borderId="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86" fillId="85" borderId="0"/>
    <xf numFmtId="0" fontId="87" fillId="85" borderId="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86" fillId="86" borderId="0"/>
    <xf numFmtId="0" fontId="87" fillId="86" borderId="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86" fillId="80" borderId="0"/>
    <xf numFmtId="0" fontId="87" fillId="80" borderId="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86" fillId="81" borderId="0"/>
    <xf numFmtId="0" fontId="87" fillId="81" borderId="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86" fillId="88" borderId="0"/>
    <xf numFmtId="0" fontId="87" fillId="88" borderId="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86" fillId="75" borderId="0"/>
    <xf numFmtId="0" fontId="87" fillId="75" borderId="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86" fillId="85" borderId="0"/>
    <xf numFmtId="0" fontId="87" fillId="85" borderId="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86" fillId="86" borderId="0"/>
    <xf numFmtId="0" fontId="87" fillId="86" borderId="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86" fillId="80" borderId="0"/>
    <xf numFmtId="0" fontId="87" fillId="80" borderId="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86" fillId="81" borderId="0"/>
    <xf numFmtId="0" fontId="87" fillId="81" borderId="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71" fillId="81" borderId="0" applyNumberFormat="0" applyFont="0" applyBorder="0" applyProtection="0"/>
    <xf numFmtId="0" fontId="86" fillId="88" borderId="0"/>
    <xf numFmtId="0" fontId="87" fillId="88" borderId="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71" fillId="88" borderId="0" applyNumberFormat="0" applyFont="0" applyBorder="0" applyProtection="0"/>
    <xf numFmtId="0" fontId="86" fillId="75" borderId="0"/>
    <xf numFmtId="0" fontId="87" fillId="75" borderId="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71" fillId="75" borderId="0" applyNumberFormat="0" applyFont="0" applyBorder="0" applyProtection="0"/>
    <xf numFmtId="0" fontId="86" fillId="85" borderId="0"/>
    <xf numFmtId="0" fontId="87" fillId="85" borderId="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86" fillId="86" borderId="0"/>
    <xf numFmtId="0" fontId="87" fillId="86" borderId="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71" fillId="86" borderId="0" applyNumberFormat="0" applyFont="0" applyBorder="0" applyProtection="0"/>
    <xf numFmtId="0" fontId="86" fillId="80" borderId="0"/>
    <xf numFmtId="0" fontId="87" fillId="80" borderId="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71" fillId="80" borderId="0" applyNumberFormat="0" applyFont="0" applyBorder="0" applyProtection="0"/>
    <xf numFmtId="0" fontId="82" fillId="78" borderId="0"/>
    <xf numFmtId="0" fontId="83" fillId="78" borderId="0"/>
    <xf numFmtId="0" fontId="84" fillId="89" borderId="0" applyNumberFormat="0" applyBorder="0" applyProtection="0"/>
    <xf numFmtId="0" fontId="83" fillId="78" borderId="0" applyNumberFormat="0" applyBorder="0" applyProtection="0"/>
    <xf numFmtId="0" fontId="82" fillId="90" borderId="0"/>
    <xf numFmtId="0" fontId="83" fillId="90" borderId="0"/>
    <xf numFmtId="0" fontId="84" fillId="90" borderId="0" applyNumberFormat="0" applyBorder="0" applyProtection="0"/>
    <xf numFmtId="0" fontId="83" fillId="90" borderId="0" applyNumberFormat="0" applyBorder="0" applyProtection="0"/>
    <xf numFmtId="0" fontId="82" fillId="91" borderId="0"/>
    <xf numFmtId="0" fontId="83" fillId="91" borderId="0"/>
    <xf numFmtId="0" fontId="84" fillId="76" borderId="0" applyNumberFormat="0" applyBorder="0" applyProtection="0"/>
    <xf numFmtId="0" fontId="83" fillId="91" borderId="0" applyNumberFormat="0" applyBorder="0" applyProtection="0"/>
    <xf numFmtId="0" fontId="82" fillId="78" borderId="0"/>
    <xf numFmtId="0" fontId="83" fillId="78" borderId="0"/>
    <xf numFmtId="0" fontId="84" fillId="85" borderId="0" applyNumberFormat="0" applyBorder="0" applyProtection="0"/>
    <xf numFmtId="0" fontId="83" fillId="78" borderId="0" applyNumberFormat="0" applyBorder="0" applyProtection="0"/>
    <xf numFmtId="0" fontId="82" fillId="89" borderId="0"/>
    <xf numFmtId="0" fontId="83" fillId="89" borderId="0"/>
    <xf numFmtId="0" fontId="84" fillId="89" borderId="0" applyNumberFormat="0" applyBorder="0" applyProtection="0"/>
    <xf numFmtId="0" fontId="83" fillId="89" borderId="0" applyNumberFormat="0" applyBorder="0" applyProtection="0"/>
    <xf numFmtId="0" fontId="82" fillId="80" borderId="0"/>
    <xf numFmtId="0" fontId="83" fillId="80" borderId="0"/>
    <xf numFmtId="0" fontId="84" fillId="92" borderId="0" applyNumberFormat="0" applyBorder="0" applyProtection="0"/>
    <xf numFmtId="0" fontId="83" fillId="80" borderId="0" applyNumberFormat="0" applyBorder="0" applyProtection="0"/>
    <xf numFmtId="0" fontId="85" fillId="89" borderId="0"/>
    <xf numFmtId="0" fontId="85" fillId="89" borderId="0"/>
    <xf numFmtId="0" fontId="84" fillId="89" borderId="0" applyNumberFormat="0" applyBorder="0" applyProtection="0"/>
    <xf numFmtId="0" fontId="85" fillId="90" borderId="0"/>
    <xf numFmtId="0" fontId="85" fillId="90" borderId="0"/>
    <xf numFmtId="0" fontId="84" fillId="90" borderId="0" applyNumberFormat="0" applyBorder="0" applyProtection="0"/>
    <xf numFmtId="0" fontId="85" fillId="76" borderId="0"/>
    <xf numFmtId="0" fontId="85" fillId="76" borderId="0"/>
    <xf numFmtId="0" fontId="84" fillId="76" borderId="0" applyNumberFormat="0" applyBorder="0" applyProtection="0"/>
    <xf numFmtId="0" fontId="85" fillId="85" borderId="0"/>
    <xf numFmtId="0" fontId="85" fillId="85" borderId="0"/>
    <xf numFmtId="0" fontId="84" fillId="85" borderId="0" applyNumberFormat="0" applyBorder="0" applyProtection="0"/>
    <xf numFmtId="0" fontId="85" fillId="89" borderId="0"/>
    <xf numFmtId="0" fontId="85" fillId="89" borderId="0"/>
    <xf numFmtId="0" fontId="84" fillId="89" borderId="0" applyNumberFormat="0" applyBorder="0" applyProtection="0"/>
    <xf numFmtId="0" fontId="85" fillId="92" borderId="0"/>
    <xf numFmtId="0" fontId="85" fillId="92" borderId="0"/>
    <xf numFmtId="0" fontId="84" fillId="92" borderId="0" applyNumberFormat="0" applyBorder="0" applyProtection="0"/>
    <xf numFmtId="0" fontId="86" fillId="89" borderId="0"/>
    <xf numFmtId="0" fontId="87" fillId="89" borderId="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86" fillId="90" borderId="0"/>
    <xf numFmtId="0" fontId="87" fillId="90" borderId="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86" fillId="93" borderId="0"/>
    <xf numFmtId="0" fontId="87" fillId="93" borderId="0"/>
    <xf numFmtId="0" fontId="71" fillId="93" borderId="0" applyNumberFormat="0" applyFont="0" applyBorder="0" applyProtection="0"/>
    <xf numFmtId="0" fontId="71" fillId="93" borderId="0" applyNumberFormat="0" applyFont="0" applyBorder="0" applyProtection="0"/>
    <xf numFmtId="0" fontId="71" fillId="93" borderId="0" applyNumberFormat="0" applyFont="0" applyBorder="0" applyProtection="0"/>
    <xf numFmtId="0" fontId="71" fillId="93" borderId="0" applyNumberFormat="0" applyFont="0" applyBorder="0" applyProtection="0"/>
    <xf numFmtId="0" fontId="71" fillId="93" borderId="0" applyNumberFormat="0" applyFont="0" applyBorder="0" applyProtection="0"/>
    <xf numFmtId="0" fontId="71" fillId="93" borderId="0" applyNumberFormat="0" applyFont="0" applyBorder="0" applyProtection="0"/>
    <xf numFmtId="0" fontId="86" fillId="85" borderId="0"/>
    <xf numFmtId="0" fontId="87" fillId="85" borderId="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86" fillId="89" borderId="0"/>
    <xf numFmtId="0" fontId="87" fillId="89" borderId="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86" fillId="94" borderId="0"/>
    <xf numFmtId="0" fontId="87" fillId="94" borderId="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86" fillId="89" borderId="0"/>
    <xf numFmtId="0" fontId="87" fillId="89" borderId="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86" fillId="90" borderId="0"/>
    <xf numFmtId="0" fontId="87" fillId="90" borderId="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86" fillId="93" borderId="0"/>
    <xf numFmtId="0" fontId="87" fillId="93" borderId="0"/>
    <xf numFmtId="0" fontId="71" fillId="93" borderId="0" applyNumberFormat="0" applyFont="0" applyBorder="0" applyProtection="0"/>
    <xf numFmtId="0" fontId="71" fillId="93" borderId="0" applyNumberFormat="0" applyFont="0" applyBorder="0" applyProtection="0"/>
    <xf numFmtId="0" fontId="71" fillId="93" borderId="0" applyNumberFormat="0" applyFont="0" applyBorder="0" applyProtection="0"/>
    <xf numFmtId="0" fontId="71" fillId="93" borderId="0" applyNumberFormat="0" applyFont="0" applyBorder="0" applyProtection="0"/>
    <xf numFmtId="0" fontId="71" fillId="93" borderId="0" applyNumberFormat="0" applyFont="0" applyBorder="0" applyProtection="0"/>
    <xf numFmtId="0" fontId="71" fillId="93" borderId="0" applyNumberFormat="0" applyFont="0" applyBorder="0" applyProtection="0"/>
    <xf numFmtId="0" fontId="86" fillId="85" borderId="0"/>
    <xf numFmtId="0" fontId="87" fillId="85" borderId="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86" fillId="89" borderId="0"/>
    <xf numFmtId="0" fontId="87" fillId="89" borderId="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86" fillId="94" borderId="0"/>
    <xf numFmtId="0" fontId="87" fillId="94" borderId="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86" fillId="89" borderId="0"/>
    <xf numFmtId="0" fontId="87" fillId="89" borderId="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86" fillId="90" borderId="0"/>
    <xf numFmtId="0" fontId="87" fillId="90" borderId="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71" fillId="90" borderId="0" applyNumberFormat="0" applyFont="0" applyBorder="0" applyProtection="0"/>
    <xf numFmtId="0" fontId="86" fillId="76" borderId="0"/>
    <xf numFmtId="0" fontId="87" fillId="76" borderId="0"/>
    <xf numFmtId="0" fontId="71" fillId="76" borderId="0" applyNumberFormat="0" applyFont="0" applyBorder="0" applyProtection="0"/>
    <xf numFmtId="0" fontId="71" fillId="76" borderId="0" applyNumberFormat="0" applyFont="0" applyBorder="0" applyProtection="0"/>
    <xf numFmtId="0" fontId="71" fillId="76" borderId="0" applyNumberFormat="0" applyFont="0" applyBorder="0" applyProtection="0"/>
    <xf numFmtId="0" fontId="71" fillId="76" borderId="0" applyNumberFormat="0" applyFont="0" applyBorder="0" applyProtection="0"/>
    <xf numFmtId="0" fontId="71" fillId="76" borderId="0" applyNumberFormat="0" applyFont="0" applyBorder="0" applyProtection="0"/>
    <xf numFmtId="0" fontId="71" fillId="76" borderId="0" applyNumberFormat="0" applyFont="0" applyBorder="0" applyProtection="0"/>
    <xf numFmtId="0" fontId="86" fillId="85" borderId="0"/>
    <xf numFmtId="0" fontId="87" fillId="85" borderId="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71" fillId="85" borderId="0" applyNumberFormat="0" applyFont="0" applyBorder="0" applyProtection="0"/>
    <xf numFmtId="0" fontId="86" fillId="89" borderId="0"/>
    <xf numFmtId="0" fontId="87" fillId="89" borderId="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71" fillId="89" borderId="0" applyNumberFormat="0" applyFont="0" applyBorder="0" applyProtection="0"/>
    <xf numFmtId="0" fontId="86" fillId="94" borderId="0"/>
    <xf numFmtId="0" fontId="87" fillId="94" borderId="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71" fillId="94" borderId="0" applyNumberFormat="0" applyFont="0" applyBorder="0" applyProtection="0"/>
    <xf numFmtId="0" fontId="86" fillId="0" borderId="0">
      <alignment horizontal="left" vertical="center" indent="7"/>
    </xf>
    <xf numFmtId="0" fontId="87" fillId="0" borderId="0">
      <alignment horizontal="left" vertical="center" indent="7"/>
    </xf>
    <xf numFmtId="0" fontId="71" fillId="0" borderId="0" applyNumberFormat="0" applyFont="0" applyBorder="0" applyProtection="0">
      <alignment horizontal="left" vertical="center" indent="7"/>
    </xf>
    <xf numFmtId="0" fontId="71" fillId="0" borderId="0" applyNumberFormat="0" applyFont="0" applyBorder="0" applyProtection="0">
      <alignment horizontal="left" vertical="center" indent="7"/>
    </xf>
    <xf numFmtId="0" fontId="71" fillId="0" borderId="0" applyNumberFormat="0" applyFont="0" applyBorder="0" applyProtection="0">
      <alignment horizontal="left" vertical="center" indent="7"/>
    </xf>
    <xf numFmtId="0" fontId="71" fillId="0" borderId="0" applyNumberFormat="0" applyFont="0" applyBorder="0" applyProtection="0">
      <alignment horizontal="left" vertical="center" indent="7"/>
    </xf>
    <xf numFmtId="0" fontId="71" fillId="0" borderId="0" applyNumberFormat="0" applyFont="0" applyBorder="0" applyProtection="0">
      <alignment horizontal="left" vertical="center" indent="7"/>
    </xf>
    <xf numFmtId="0" fontId="71" fillId="0" borderId="0" applyNumberFormat="0" applyFont="0" applyBorder="0" applyProtection="0">
      <alignment horizontal="left" vertical="center" indent="7"/>
    </xf>
    <xf numFmtId="0" fontId="77" fillId="0" borderId="0" applyNumberFormat="0" applyFont="0" applyBorder="0" applyProtection="0">
      <alignment horizontal="left" vertical="center" indent="7"/>
    </xf>
    <xf numFmtId="0" fontId="88" fillId="95" borderId="0"/>
    <xf numFmtId="0" fontId="89" fillId="95" borderId="0"/>
    <xf numFmtId="0" fontId="90" fillId="93" borderId="0" applyNumberFormat="0" applyBorder="0" applyProtection="0"/>
    <xf numFmtId="0" fontId="89" fillId="95" borderId="0" applyNumberFormat="0" applyBorder="0" applyProtection="0"/>
    <xf numFmtId="0" fontId="88" fillId="90" borderId="0"/>
    <xf numFmtId="0" fontId="89" fillId="90" borderId="0"/>
    <xf numFmtId="0" fontId="90" fillId="90" borderId="0" applyNumberFormat="0" applyBorder="0" applyProtection="0"/>
    <xf numFmtId="0" fontId="89" fillId="90" borderId="0" applyNumberFormat="0" applyBorder="0" applyProtection="0"/>
    <xf numFmtId="0" fontId="88" fillId="91" borderId="0"/>
    <xf numFmtId="0" fontId="89" fillId="91" borderId="0"/>
    <xf numFmtId="0" fontId="90" fillId="76" borderId="0" applyNumberFormat="0" applyBorder="0" applyProtection="0"/>
    <xf numFmtId="0" fontId="89" fillId="91" borderId="0" applyNumberFormat="0" applyBorder="0" applyProtection="0"/>
    <xf numFmtId="0" fontId="88" fillId="78" borderId="0"/>
    <xf numFmtId="0" fontId="89" fillId="78" borderId="0"/>
    <xf numFmtId="0" fontId="90" fillId="96" borderId="0" applyNumberFormat="0" applyBorder="0" applyProtection="0"/>
    <xf numFmtId="0" fontId="89" fillId="78" borderId="0" applyNumberFormat="0" applyBorder="0" applyProtection="0"/>
    <xf numFmtId="0" fontId="88" fillId="95" borderId="0"/>
    <xf numFmtId="0" fontId="89" fillId="95" borderId="0"/>
    <xf numFmtId="0" fontId="90" fillId="95" borderId="0" applyNumberFormat="0" applyBorder="0" applyProtection="0"/>
    <xf numFmtId="0" fontId="89" fillId="95" borderId="0" applyNumberFormat="0" applyBorder="0" applyProtection="0"/>
    <xf numFmtId="0" fontId="88" fillId="80" borderId="0"/>
    <xf numFmtId="0" fontId="89" fillId="80" borderId="0"/>
    <xf numFmtId="0" fontId="90" fillId="97" borderId="0" applyNumberFormat="0" applyBorder="0" applyProtection="0"/>
    <xf numFmtId="0" fontId="89" fillId="80" borderId="0" applyNumberFormat="0" applyBorder="0" applyProtection="0"/>
    <xf numFmtId="0" fontId="91" fillId="93" borderId="0"/>
    <xf numFmtId="0" fontId="91" fillId="93" borderId="0"/>
    <xf numFmtId="0" fontId="90" fillId="93" borderId="0" applyNumberFormat="0" applyBorder="0" applyProtection="0"/>
    <xf numFmtId="0" fontId="91" fillId="90" borderId="0"/>
    <xf numFmtId="0" fontId="91" fillId="90" borderId="0"/>
    <xf numFmtId="0" fontId="90" fillId="90" borderId="0" applyNumberFormat="0" applyBorder="0" applyProtection="0"/>
    <xf numFmtId="0" fontId="91" fillId="76" borderId="0"/>
    <xf numFmtId="0" fontId="91" fillId="76" borderId="0"/>
    <xf numFmtId="0" fontId="90" fillId="76" borderId="0" applyNumberFormat="0" applyBorder="0" applyProtection="0"/>
    <xf numFmtId="0" fontId="91" fillId="96" borderId="0"/>
    <xf numFmtId="0" fontId="91" fillId="96" borderId="0"/>
    <xf numFmtId="0" fontId="90" fillId="96" borderId="0" applyNumberFormat="0" applyBorder="0" applyProtection="0"/>
    <xf numFmtId="0" fontId="91" fillId="95" borderId="0"/>
    <xf numFmtId="0" fontId="91" fillId="95" borderId="0"/>
    <xf numFmtId="0" fontId="90" fillId="95" borderId="0" applyNumberFormat="0" applyBorder="0" applyProtection="0"/>
    <xf numFmtId="0" fontId="91" fillId="97" borderId="0"/>
    <xf numFmtId="0" fontId="91" fillId="97" borderId="0"/>
    <xf numFmtId="0" fontId="90" fillId="97" borderId="0" applyNumberFormat="0" applyBorder="0" applyProtection="0"/>
    <xf numFmtId="0" fontId="92" fillId="98" borderId="0"/>
    <xf numFmtId="0" fontId="93" fillId="98" borderId="0"/>
    <xf numFmtId="0" fontId="93" fillId="98" borderId="0" applyNumberFormat="0" applyBorder="0" applyProtection="0"/>
    <xf numFmtId="0" fontId="92" fillId="90" borderId="0"/>
    <xf numFmtId="0" fontId="93" fillId="90" borderId="0"/>
    <xf numFmtId="0" fontId="93" fillId="90" borderId="0" applyNumberFormat="0" applyBorder="0" applyProtection="0"/>
    <xf numFmtId="0" fontId="92" fillId="93" borderId="0"/>
    <xf numFmtId="0" fontId="93" fillId="93" borderId="0"/>
    <xf numFmtId="0" fontId="93" fillId="93" borderId="0" applyNumberFormat="0" applyBorder="0" applyProtection="0"/>
    <xf numFmtId="0" fontId="92" fillId="96" borderId="0"/>
    <xf numFmtId="0" fontId="93" fillId="96" borderId="0"/>
    <xf numFmtId="0" fontId="93" fillId="96" borderId="0" applyNumberFormat="0" applyBorder="0" applyProtection="0"/>
    <xf numFmtId="0" fontId="92" fillId="95" borderId="0"/>
    <xf numFmtId="0" fontId="93" fillId="95" borderId="0"/>
    <xf numFmtId="0" fontId="93" fillId="95" borderId="0" applyNumberFormat="0" applyBorder="0" applyProtection="0"/>
    <xf numFmtId="0" fontId="92" fillId="99" borderId="0"/>
    <xf numFmtId="0" fontId="93" fillId="99" borderId="0"/>
    <xf numFmtId="0" fontId="93" fillId="99" borderId="0" applyNumberFormat="0" applyBorder="0" applyProtection="0"/>
    <xf numFmtId="0" fontId="92" fillId="98" borderId="0"/>
    <xf numFmtId="0" fontId="93" fillId="98" borderId="0"/>
    <xf numFmtId="0" fontId="93" fillId="98" borderId="0" applyNumberFormat="0" applyBorder="0" applyProtection="0"/>
    <xf numFmtId="0" fontId="92" fillId="90" borderId="0"/>
    <xf numFmtId="0" fontId="93" fillId="90" borderId="0"/>
    <xf numFmtId="0" fontId="93" fillId="90" borderId="0" applyNumberFormat="0" applyBorder="0" applyProtection="0"/>
    <xf numFmtId="0" fontId="92" fillId="93" borderId="0"/>
    <xf numFmtId="0" fontId="93" fillId="93" borderId="0"/>
    <xf numFmtId="0" fontId="93" fillId="93" borderId="0" applyNumberFormat="0" applyBorder="0" applyProtection="0"/>
    <xf numFmtId="0" fontId="92" fillId="96" borderId="0"/>
    <xf numFmtId="0" fontId="93" fillId="96" borderId="0"/>
    <xf numFmtId="0" fontId="93" fillId="96" borderId="0" applyNumberFormat="0" applyBorder="0" applyProtection="0"/>
    <xf numFmtId="0" fontId="92" fillId="95" borderId="0"/>
    <xf numFmtId="0" fontId="93" fillId="95" borderId="0"/>
    <xf numFmtId="0" fontId="93" fillId="95" borderId="0" applyNumberFormat="0" applyBorder="0" applyProtection="0"/>
    <xf numFmtId="0" fontId="92" fillId="99" borderId="0"/>
    <xf numFmtId="0" fontId="93" fillId="99" borderId="0"/>
    <xf numFmtId="0" fontId="93" fillId="99" borderId="0" applyNumberFormat="0" applyBorder="0" applyProtection="0"/>
    <xf numFmtId="0" fontId="92" fillId="98" borderId="0"/>
    <xf numFmtId="0" fontId="93" fillId="98" borderId="0"/>
    <xf numFmtId="0" fontId="93" fillId="98" borderId="0" applyNumberFormat="0" applyBorder="0" applyProtection="0"/>
    <xf numFmtId="0" fontId="92" fillId="90" borderId="0"/>
    <xf numFmtId="0" fontId="93" fillId="90" borderId="0"/>
    <xf numFmtId="0" fontId="93" fillId="90" borderId="0" applyNumberFormat="0" applyBorder="0" applyProtection="0"/>
    <xf numFmtId="0" fontId="92" fillId="76" borderId="0"/>
    <xf numFmtId="0" fontId="93" fillId="76" borderId="0"/>
    <xf numFmtId="0" fontId="93" fillId="76" borderId="0" applyNumberFormat="0" applyBorder="0" applyProtection="0"/>
    <xf numFmtId="0" fontId="92" fillId="96" borderId="0"/>
    <xf numFmtId="0" fontId="93" fillId="96" borderId="0"/>
    <xf numFmtId="0" fontId="93" fillId="96" borderId="0" applyNumberFormat="0" applyBorder="0" applyProtection="0"/>
    <xf numFmtId="0" fontId="92" fillId="95" borderId="0"/>
    <xf numFmtId="0" fontId="93" fillId="95" borderId="0"/>
    <xf numFmtId="0" fontId="93" fillId="95" borderId="0" applyNumberFormat="0" applyBorder="0" applyProtection="0"/>
    <xf numFmtId="0" fontId="92" fillId="99" borderId="0"/>
    <xf numFmtId="0" fontId="93" fillId="99" borderId="0"/>
    <xf numFmtId="0" fontId="93" fillId="99" borderId="0" applyNumberFormat="0" applyBorder="0" applyProtection="0"/>
    <xf numFmtId="0" fontId="91" fillId="100" borderId="0"/>
    <xf numFmtId="0" fontId="91" fillId="100" borderId="0"/>
    <xf numFmtId="0" fontId="90" fillId="100" borderId="0" applyNumberFormat="0" applyBorder="0" applyProtection="0"/>
    <xf numFmtId="0" fontId="91" fillId="77" borderId="0"/>
    <xf numFmtId="0" fontId="91" fillId="77" borderId="0"/>
    <xf numFmtId="0" fontId="90" fillId="77" borderId="0" applyNumberFormat="0" applyBorder="0" applyProtection="0"/>
    <xf numFmtId="0" fontId="91" fillId="101" borderId="0"/>
    <xf numFmtId="0" fontId="91" fillId="101" borderId="0"/>
    <xf numFmtId="0" fontId="90" fillId="101" borderId="0" applyNumberFormat="0" applyBorder="0" applyProtection="0"/>
    <xf numFmtId="0" fontId="91" fillId="96" borderId="0"/>
    <xf numFmtId="0" fontId="91" fillId="96" borderId="0"/>
    <xf numFmtId="0" fontId="90" fillId="96" borderId="0" applyNumberFormat="0" applyBorder="0" applyProtection="0"/>
    <xf numFmtId="0" fontId="91" fillId="95" borderId="0"/>
    <xf numFmtId="0" fontId="91" fillId="95" borderId="0"/>
    <xf numFmtId="0" fontId="90" fillId="95" borderId="0" applyNumberFormat="0" applyBorder="0" applyProtection="0"/>
    <xf numFmtId="0" fontId="91" fillId="102" borderId="0"/>
    <xf numFmtId="0" fontId="91" fillId="102" borderId="0"/>
    <xf numFmtId="0" fontId="90" fillId="102" borderId="0" applyNumberFormat="0" applyBorder="0" applyProtection="0"/>
    <xf numFmtId="0" fontId="94" fillId="0" borderId="0"/>
    <xf numFmtId="0" fontId="94" fillId="0" borderId="0"/>
    <xf numFmtId="0" fontId="95" fillId="0" borderId="0" applyNumberFormat="0" applyBorder="0" applyProtection="0"/>
    <xf numFmtId="0" fontId="96" fillId="88" borderId="0"/>
    <xf numFmtId="0" fontId="97" fillId="88" borderId="0"/>
    <xf numFmtId="0" fontId="97" fillId="88" borderId="0" applyNumberFormat="0" applyBorder="0" applyProtection="0"/>
    <xf numFmtId="4" fontId="98" fillId="0" borderId="0">
      <alignment horizontal="right" vertical="center"/>
    </xf>
    <xf numFmtId="4" fontId="99" fillId="0" borderId="0">
      <alignment horizontal="right" vertical="center"/>
    </xf>
    <xf numFmtId="4" fontId="99" fillId="0" borderId="0" applyBorder="0" applyProtection="0">
      <alignment horizontal="right" vertical="center"/>
    </xf>
    <xf numFmtId="0" fontId="100" fillId="75" borderId="0"/>
    <xf numFmtId="0" fontId="101" fillId="75" borderId="0"/>
    <xf numFmtId="0" fontId="101" fillId="75" borderId="0" applyNumberFormat="0" applyBorder="0" applyProtection="0"/>
    <xf numFmtId="0" fontId="102" fillId="75" borderId="0"/>
    <xf numFmtId="0" fontId="103" fillId="75" borderId="0"/>
    <xf numFmtId="0" fontId="103" fillId="75" borderId="0" applyNumberFormat="0" applyBorder="0" applyProtection="0"/>
    <xf numFmtId="0" fontId="104" fillId="78" borderId="64"/>
    <xf numFmtId="0" fontId="105" fillId="78" borderId="64"/>
    <xf numFmtId="0" fontId="105" fillId="78" borderId="64" applyNumberFormat="0" applyProtection="0"/>
    <xf numFmtId="0" fontId="106" fillId="78" borderId="64"/>
    <xf numFmtId="0" fontId="106" fillId="78" borderId="64"/>
    <xf numFmtId="0" fontId="107" fillId="78" borderId="64" applyNumberFormat="0" applyProtection="0"/>
    <xf numFmtId="0" fontId="104" fillId="78" borderId="64"/>
    <xf numFmtId="0" fontId="105" fillId="78" borderId="64"/>
    <xf numFmtId="0" fontId="105" fillId="78" borderId="64" applyNumberFormat="0" applyProtection="0"/>
    <xf numFmtId="0" fontId="104" fillId="78" borderId="64"/>
    <xf numFmtId="0" fontId="105" fillId="78" borderId="64"/>
    <xf numFmtId="0" fontId="105" fillId="78" borderId="64" applyNumberFormat="0" applyProtection="0"/>
    <xf numFmtId="0" fontId="108" fillId="103" borderId="59"/>
    <xf numFmtId="0" fontId="48" fillId="103" borderId="59"/>
    <xf numFmtId="0" fontId="48" fillId="103" borderId="65" applyNumberFormat="0" applyProtection="0"/>
    <xf numFmtId="0" fontId="109" fillId="0" borderId="60"/>
    <xf numFmtId="0" fontId="110" fillId="0" borderId="60"/>
    <xf numFmtId="0" fontId="110" fillId="0" borderId="66" applyNumberFormat="0" applyProtection="0"/>
    <xf numFmtId="0" fontId="109" fillId="0" borderId="60"/>
    <xf numFmtId="0" fontId="110" fillId="0" borderId="60"/>
    <xf numFmtId="0" fontId="110" fillId="0" borderId="66" applyNumberFormat="0" applyProtection="0"/>
    <xf numFmtId="0" fontId="108" fillId="103" borderId="59"/>
    <xf numFmtId="0" fontId="48" fillId="103" borderId="59"/>
    <xf numFmtId="0" fontId="48" fillId="103" borderId="65" applyNumberFormat="0" applyProtection="0"/>
    <xf numFmtId="0" fontId="111" fillId="0" borderId="60"/>
    <xf numFmtId="0" fontId="111" fillId="0" borderId="60"/>
    <xf numFmtId="0" fontId="112" fillId="0" borderId="66" applyNumberFormat="0" applyProtection="0"/>
    <xf numFmtId="0" fontId="108" fillId="103" borderId="59"/>
    <xf numFmtId="0" fontId="48" fillId="103" borderId="59"/>
    <xf numFmtId="0" fontId="48" fillId="103" borderId="65" applyNumberFormat="0" applyProtection="0"/>
    <xf numFmtId="0" fontId="113" fillId="78" borderId="64">
      <alignment horizontal="center" vertical="center"/>
    </xf>
    <xf numFmtId="0" fontId="113" fillId="78" borderId="64">
      <alignment horizontal="center" vertical="center"/>
    </xf>
    <xf numFmtId="0" fontId="113" fillId="78" borderId="64">
      <alignment horizontal="center" vertical="center"/>
    </xf>
    <xf numFmtId="0" fontId="113" fillId="78" borderId="64" applyNumberFormat="0" applyProtection="0">
      <alignment horizontal="center" vertical="center"/>
    </xf>
    <xf numFmtId="0" fontId="113" fillId="78" borderId="64">
      <alignment horizontal="center" vertical="center"/>
    </xf>
    <xf numFmtId="0" fontId="113" fillId="78" borderId="64">
      <alignment horizontal="center" vertical="center"/>
    </xf>
    <xf numFmtId="0" fontId="113" fillId="78" borderId="64" applyNumberFormat="0" applyProtection="0">
      <alignment horizontal="center" vertical="center"/>
    </xf>
    <xf numFmtId="0" fontId="113" fillId="78" borderId="64">
      <alignment horizontal="center" vertical="center"/>
    </xf>
    <xf numFmtId="0" fontId="113" fillId="78" borderId="64">
      <alignment horizontal="center" vertical="center"/>
    </xf>
    <xf numFmtId="0" fontId="113" fillId="78" borderId="64" applyNumberFormat="0" applyProtection="0">
      <alignment horizontal="center" vertical="center"/>
    </xf>
    <xf numFmtId="0" fontId="113" fillId="78" borderId="64">
      <alignment horizontal="center" vertical="center"/>
    </xf>
    <xf numFmtId="0" fontId="113" fillId="78" borderId="64">
      <alignment horizontal="center" vertical="center"/>
    </xf>
    <xf numFmtId="0" fontId="113" fillId="78" borderId="64" applyNumberFormat="0" applyProtection="0">
      <alignment horizontal="center" vertical="center"/>
    </xf>
    <xf numFmtId="0" fontId="113" fillId="78" borderId="64">
      <alignment horizontal="center" vertical="center"/>
    </xf>
    <xf numFmtId="0" fontId="113" fillId="78" borderId="64" applyNumberFormat="0" applyProtection="0">
      <alignment horizontal="center" vertical="center"/>
    </xf>
    <xf numFmtId="49" fontId="114" fillId="104" borderId="0">
      <alignment horizontal="center" vertical="center" wrapText="1"/>
    </xf>
    <xf numFmtId="49" fontId="114" fillId="105" borderId="67">
      <alignment horizontal="center" vertical="center" wrapText="1"/>
    </xf>
    <xf numFmtId="49" fontId="114" fillId="104" borderId="67">
      <alignment horizontal="center" vertical="center" wrapText="1"/>
    </xf>
    <xf numFmtId="49" fontId="114" fillId="104" borderId="67">
      <alignment horizontal="center" vertical="center" wrapText="1"/>
    </xf>
    <xf numFmtId="49" fontId="114" fillId="104" borderId="67" applyProtection="0">
      <alignment horizontal="center" vertical="center" wrapText="1"/>
    </xf>
    <xf numFmtId="49" fontId="114" fillId="105" borderId="67">
      <alignment horizontal="center" vertical="center" wrapText="1"/>
    </xf>
    <xf numFmtId="49" fontId="114" fillId="105" borderId="67" applyProtection="0">
      <alignment horizontal="center" vertical="center" wrapText="1"/>
    </xf>
    <xf numFmtId="49" fontId="114" fillId="85" borderId="67">
      <alignment horizontal="center" vertical="center" wrapText="1"/>
    </xf>
    <xf numFmtId="49" fontId="114" fillId="85" borderId="67">
      <alignment horizontal="center" vertical="center" wrapText="1"/>
    </xf>
    <xf numFmtId="49" fontId="114" fillId="85" borderId="67" applyProtection="0">
      <alignment horizontal="center" vertical="center" wrapText="1"/>
    </xf>
    <xf numFmtId="49" fontId="114" fillId="104" borderId="67">
      <alignment horizontal="center" vertical="center" wrapText="1"/>
    </xf>
    <xf numFmtId="49" fontId="114" fillId="104" borderId="67">
      <alignment horizontal="center" vertical="center" wrapText="1"/>
    </xf>
    <xf numFmtId="49" fontId="114" fillId="104" borderId="67" applyProtection="0">
      <alignment horizontal="center" vertical="center" wrapText="1"/>
    </xf>
    <xf numFmtId="49" fontId="114" fillId="104" borderId="0">
      <alignment horizontal="center" vertical="center" wrapText="1"/>
    </xf>
    <xf numFmtId="49" fontId="114" fillId="104" borderId="0" applyBorder="0" applyProtection="0">
      <alignment horizontal="center" vertical="center" wrapText="1"/>
    </xf>
    <xf numFmtId="49" fontId="114" fillId="101" borderId="0">
      <alignment horizontal="center" vertical="center" wrapText="1"/>
    </xf>
    <xf numFmtId="49" fontId="114" fillId="106" borderId="68">
      <alignment horizontal="center" vertical="center" wrapText="1"/>
    </xf>
    <xf numFmtId="49" fontId="114" fillId="106" borderId="68">
      <alignment horizontal="center" vertical="center" wrapText="1"/>
    </xf>
    <xf numFmtId="49" fontId="114" fillId="106" borderId="68" applyProtection="0">
      <alignment horizontal="center" vertical="center" wrapText="1"/>
    </xf>
    <xf numFmtId="49" fontId="114" fillId="88" borderId="68">
      <alignment horizontal="center" vertical="center" wrapText="1"/>
    </xf>
    <xf numFmtId="49" fontId="114" fillId="88" borderId="68">
      <alignment horizontal="center" vertical="center" wrapText="1"/>
    </xf>
    <xf numFmtId="49" fontId="114" fillId="88" borderId="68" applyProtection="0">
      <alignment horizontal="center" vertical="center" wrapText="1"/>
    </xf>
    <xf numFmtId="49" fontId="114" fillId="102" borderId="68">
      <alignment horizontal="center" vertical="center" wrapText="1"/>
    </xf>
    <xf numFmtId="49" fontId="114" fillId="102" borderId="68">
      <alignment horizontal="center" vertical="center" wrapText="1"/>
    </xf>
    <xf numFmtId="49" fontId="114" fillId="102" borderId="68" applyProtection="0">
      <alignment horizontal="center" vertical="center" wrapText="1"/>
    </xf>
    <xf numFmtId="49" fontId="114" fillId="85" borderId="68">
      <alignment horizontal="center" vertical="center" wrapText="1"/>
    </xf>
    <xf numFmtId="49" fontId="114" fillId="85" borderId="68">
      <alignment horizontal="center" vertical="center" wrapText="1"/>
    </xf>
    <xf numFmtId="49" fontId="114" fillId="85" borderId="68" applyProtection="0">
      <alignment horizontal="center" vertical="center" wrapText="1"/>
    </xf>
    <xf numFmtId="49" fontId="114" fillId="101" borderId="0">
      <alignment horizontal="center" vertical="center" wrapText="1"/>
    </xf>
    <xf numFmtId="49" fontId="114" fillId="101" borderId="0" applyBorder="0" applyProtection="0">
      <alignment horizontal="center" vertical="center" wrapText="1"/>
    </xf>
    <xf numFmtId="49" fontId="114" fillId="107" borderId="0">
      <alignment horizontal="center" vertical="center" wrapText="1"/>
    </xf>
    <xf numFmtId="49" fontId="114" fillId="99" borderId="68">
      <alignment horizontal="center" vertical="center" wrapText="1"/>
    </xf>
    <xf numFmtId="49" fontId="114" fillId="105" borderId="68">
      <alignment horizontal="center" vertical="center" wrapText="1"/>
    </xf>
    <xf numFmtId="49" fontId="114" fillId="105" borderId="68">
      <alignment horizontal="center" vertical="center" wrapText="1"/>
    </xf>
    <xf numFmtId="49" fontId="114" fillId="105" borderId="68" applyProtection="0">
      <alignment horizontal="center" vertical="center" wrapText="1"/>
    </xf>
    <xf numFmtId="49" fontId="114" fillId="99" borderId="68">
      <alignment horizontal="center" vertical="center" wrapText="1"/>
    </xf>
    <xf numFmtId="49" fontId="114" fillId="99" borderId="68" applyProtection="0">
      <alignment horizontal="center" vertical="center" wrapText="1"/>
    </xf>
    <xf numFmtId="49" fontId="114" fillId="105" borderId="68">
      <alignment horizontal="center" vertical="center" wrapText="1"/>
    </xf>
    <xf numFmtId="49" fontId="114" fillId="105" borderId="68">
      <alignment horizontal="center" vertical="center" wrapText="1"/>
    </xf>
    <xf numFmtId="49" fontId="114" fillId="105" borderId="68" applyProtection="0">
      <alignment horizontal="center" vertical="center" wrapText="1"/>
    </xf>
    <xf numFmtId="49" fontId="114" fillId="104" borderId="68">
      <alignment horizontal="center" vertical="center" wrapText="1"/>
    </xf>
    <xf numFmtId="49" fontId="114" fillId="104" borderId="68">
      <alignment horizontal="center" vertical="center" wrapText="1"/>
    </xf>
    <xf numFmtId="49" fontId="114" fillId="104" borderId="68" applyProtection="0">
      <alignment horizontal="center" vertical="center" wrapText="1"/>
    </xf>
    <xf numFmtId="49" fontId="114" fillId="105" borderId="68">
      <alignment horizontal="center" vertical="center" wrapText="1"/>
    </xf>
    <xf numFmtId="49" fontId="114" fillId="105" borderId="68">
      <alignment horizontal="center" vertical="center" wrapText="1"/>
    </xf>
    <xf numFmtId="49" fontId="114" fillId="105" borderId="68" applyProtection="0">
      <alignment horizontal="center" vertical="center" wrapText="1"/>
    </xf>
    <xf numFmtId="49" fontId="114" fillId="107" borderId="0">
      <alignment horizontal="center" vertical="center" wrapText="1"/>
    </xf>
    <xf numFmtId="49" fontId="114" fillId="107" borderId="0" applyBorder="0" applyProtection="0">
      <alignment horizontal="center" vertical="center" wrapText="1"/>
    </xf>
    <xf numFmtId="49" fontId="114" fillId="107" borderId="0">
      <alignment horizontal="center" vertical="center" wrapText="1"/>
    </xf>
    <xf numFmtId="49" fontId="114" fillId="99" borderId="69">
      <alignment horizontal="center" vertical="center" wrapText="1"/>
    </xf>
    <xf numFmtId="49" fontId="114" fillId="105" borderId="69">
      <alignment horizontal="center" vertical="center" wrapText="1"/>
    </xf>
    <xf numFmtId="49" fontId="114" fillId="105" borderId="69">
      <alignment horizontal="center" vertical="center" wrapText="1"/>
    </xf>
    <xf numFmtId="49" fontId="114" fillId="105" borderId="69" applyProtection="0">
      <alignment horizontal="center" vertical="center" wrapText="1"/>
    </xf>
    <xf numFmtId="49" fontId="114" fillId="99" borderId="69">
      <alignment horizontal="center" vertical="center" wrapText="1"/>
    </xf>
    <xf numFmtId="49" fontId="114" fillId="99" borderId="69" applyProtection="0">
      <alignment horizontal="center" vertical="center" wrapText="1"/>
    </xf>
    <xf numFmtId="49" fontId="114" fillId="105" borderId="70">
      <alignment horizontal="center" vertical="center" wrapText="1"/>
    </xf>
    <xf numFmtId="49" fontId="114" fillId="105" borderId="70">
      <alignment horizontal="center" vertical="center" wrapText="1"/>
    </xf>
    <xf numFmtId="49" fontId="114" fillId="105" borderId="70" applyProtection="0">
      <alignment horizontal="center" vertical="center" wrapText="1"/>
    </xf>
    <xf numFmtId="49" fontId="114" fillId="104" borderId="71">
      <alignment horizontal="center" vertical="center" wrapText="1"/>
    </xf>
    <xf numFmtId="49" fontId="114" fillId="104" borderId="71">
      <alignment horizontal="center" vertical="center" wrapText="1"/>
    </xf>
    <xf numFmtId="49" fontId="114" fillId="104" borderId="71" applyProtection="0">
      <alignment horizontal="center" vertical="center" wrapText="1"/>
    </xf>
    <xf numFmtId="49" fontId="114" fillId="105" borderId="69">
      <alignment horizontal="center" vertical="center" wrapText="1"/>
    </xf>
    <xf numFmtId="49" fontId="114" fillId="105" borderId="69">
      <alignment horizontal="center" vertical="center" wrapText="1"/>
    </xf>
    <xf numFmtId="49" fontId="114" fillId="105" borderId="69" applyProtection="0">
      <alignment horizontal="center" vertical="center" wrapText="1"/>
    </xf>
    <xf numFmtId="49" fontId="114" fillId="107" borderId="0">
      <alignment horizontal="center" vertical="center" wrapText="1"/>
    </xf>
    <xf numFmtId="49" fontId="114" fillId="107" borderId="0" applyBorder="0" applyProtection="0">
      <alignment horizontal="center" vertical="center" wrapText="1"/>
    </xf>
    <xf numFmtId="49" fontId="114" fillId="101" borderId="0">
      <alignment horizontal="center" vertical="center" wrapText="1"/>
    </xf>
    <xf numFmtId="49" fontId="114" fillId="106" borderId="69">
      <alignment horizontal="center" vertical="center" wrapText="1"/>
    </xf>
    <xf numFmtId="49" fontId="114" fillId="106" borderId="69">
      <alignment horizontal="center" vertical="center" wrapText="1"/>
    </xf>
    <xf numFmtId="49" fontId="114" fillId="106" borderId="69" applyProtection="0">
      <alignment horizontal="center" vertical="center" wrapText="1"/>
    </xf>
    <xf numFmtId="49" fontId="114" fillId="88" borderId="70">
      <alignment horizontal="center" vertical="center" wrapText="1"/>
    </xf>
    <xf numFmtId="49" fontId="114" fillId="88" borderId="70">
      <alignment horizontal="center" vertical="center" wrapText="1"/>
    </xf>
    <xf numFmtId="49" fontId="114" fillId="88" borderId="70" applyProtection="0">
      <alignment horizontal="center" vertical="center" wrapText="1"/>
    </xf>
    <xf numFmtId="49" fontId="114" fillId="102" borderId="71">
      <alignment horizontal="center" vertical="center" wrapText="1"/>
    </xf>
    <xf numFmtId="49" fontId="114" fillId="102" borderId="71">
      <alignment horizontal="center" vertical="center" wrapText="1"/>
    </xf>
    <xf numFmtId="49" fontId="114" fillId="102" borderId="71" applyProtection="0">
      <alignment horizontal="center" vertical="center" wrapText="1"/>
    </xf>
    <xf numFmtId="49" fontId="114" fillId="85" borderId="69">
      <alignment horizontal="center" vertical="center" wrapText="1"/>
    </xf>
    <xf numFmtId="49" fontId="114" fillId="85" borderId="69">
      <alignment horizontal="center" vertical="center" wrapText="1"/>
    </xf>
    <xf numFmtId="49" fontId="114" fillId="85" borderId="69" applyProtection="0">
      <alignment horizontal="center" vertical="center" wrapText="1"/>
    </xf>
    <xf numFmtId="49" fontId="114" fillId="101" borderId="0">
      <alignment horizontal="center" vertical="center" wrapText="1"/>
    </xf>
    <xf numFmtId="49" fontId="114" fillId="101" borderId="0" applyBorder="0" applyProtection="0">
      <alignment horizontal="center" vertical="center" wrapText="1"/>
    </xf>
    <xf numFmtId="49" fontId="114" fillId="104" borderId="0">
      <alignment horizontal="center" vertical="center" wrapText="1"/>
    </xf>
    <xf numFmtId="49" fontId="114" fillId="105" borderId="72">
      <alignment horizontal="center" vertical="center" wrapText="1"/>
    </xf>
    <xf numFmtId="49" fontId="114" fillId="104" borderId="72">
      <alignment horizontal="center" vertical="center" wrapText="1"/>
    </xf>
    <xf numFmtId="49" fontId="114" fillId="104" borderId="72">
      <alignment horizontal="center" vertical="center" wrapText="1"/>
    </xf>
    <xf numFmtId="49" fontId="114" fillId="104" borderId="72" applyProtection="0">
      <alignment horizontal="center" vertical="center" wrapText="1"/>
    </xf>
    <xf numFmtId="49" fontId="114" fillId="105" borderId="72">
      <alignment horizontal="center" vertical="center" wrapText="1"/>
    </xf>
    <xf numFmtId="49" fontId="114" fillId="105" borderId="72" applyProtection="0">
      <alignment horizontal="center" vertical="center" wrapText="1"/>
    </xf>
    <xf numFmtId="49" fontId="114" fillId="85" borderId="73">
      <alignment horizontal="center" vertical="center" wrapText="1"/>
    </xf>
    <xf numFmtId="49" fontId="114" fillId="85" borderId="73">
      <alignment horizontal="center" vertical="center" wrapText="1"/>
    </xf>
    <xf numFmtId="49" fontId="114" fillId="85" borderId="73" applyProtection="0">
      <alignment horizontal="center" vertical="center" wrapText="1"/>
    </xf>
    <xf numFmtId="49" fontId="114" fillId="85" borderId="74">
      <alignment horizontal="center" vertical="center" wrapText="1"/>
    </xf>
    <xf numFmtId="49" fontId="114" fillId="85" borderId="74">
      <alignment horizontal="center" vertical="center" wrapText="1"/>
    </xf>
    <xf numFmtId="49" fontId="114" fillId="85" borderId="74" applyProtection="0">
      <alignment horizontal="center" vertical="center" wrapText="1"/>
    </xf>
    <xf numFmtId="49" fontId="114" fillId="104" borderId="72">
      <alignment horizontal="center" vertical="center" wrapText="1"/>
    </xf>
    <xf numFmtId="49" fontId="114" fillId="104" borderId="72">
      <alignment horizontal="center" vertical="center" wrapText="1"/>
    </xf>
    <xf numFmtId="49" fontId="114" fillId="104" borderId="72" applyProtection="0">
      <alignment horizontal="center" vertical="center" wrapText="1"/>
    </xf>
    <xf numFmtId="49" fontId="114" fillId="104" borderId="0">
      <alignment horizontal="center" vertical="center" wrapText="1"/>
    </xf>
    <xf numFmtId="49" fontId="114" fillId="104" borderId="0" applyBorder="0" applyProtection="0">
      <alignment horizontal="center" vertical="center" wrapText="1"/>
    </xf>
    <xf numFmtId="0" fontId="115" fillId="100" borderId="59">
      <alignment horizontal="left" vertical="center"/>
    </xf>
    <xf numFmtId="0" fontId="115" fillId="100" borderId="59">
      <alignment horizontal="left" vertical="center"/>
    </xf>
    <xf numFmtId="0" fontId="115" fillId="100" borderId="59">
      <alignment horizontal="left" vertical="center"/>
    </xf>
    <xf numFmtId="0" fontId="116" fillId="100" borderId="65" applyNumberFormat="0" applyProtection="0">
      <alignment horizontal="left" vertical="center"/>
    </xf>
    <xf numFmtId="0" fontId="115" fillId="100" borderId="59">
      <alignment horizontal="left" vertical="center"/>
    </xf>
    <xf numFmtId="0" fontId="115" fillId="100" borderId="59">
      <alignment horizontal="left" vertical="center"/>
    </xf>
    <xf numFmtId="0" fontId="116" fillId="100" borderId="65" applyNumberFormat="0" applyProtection="0">
      <alignment horizontal="left" vertical="center"/>
    </xf>
    <xf numFmtId="0" fontId="115" fillId="100" borderId="59">
      <alignment horizontal="left" vertical="center"/>
    </xf>
    <xf numFmtId="0" fontId="115" fillId="100" borderId="59">
      <alignment horizontal="left" vertical="center"/>
    </xf>
    <xf numFmtId="0" fontId="116" fillId="100" borderId="65" applyNumberFormat="0" applyProtection="0">
      <alignment horizontal="left" vertical="center"/>
    </xf>
    <xf numFmtId="0" fontId="115" fillId="100" borderId="59">
      <alignment horizontal="left" vertical="center"/>
    </xf>
    <xf numFmtId="0" fontId="115" fillId="100" borderId="59">
      <alignment horizontal="left" vertical="center"/>
    </xf>
    <xf numFmtId="0" fontId="116" fillId="100" borderId="65" applyNumberFormat="0" applyProtection="0">
      <alignment horizontal="left" vertical="center"/>
    </xf>
    <xf numFmtId="0" fontId="115" fillId="100" borderId="59">
      <alignment horizontal="left" vertical="center"/>
    </xf>
    <xf numFmtId="0" fontId="116" fillId="100" borderId="65" applyNumberFormat="0" applyProtection="0">
      <alignment horizontal="left" vertical="center"/>
    </xf>
    <xf numFmtId="0" fontId="117" fillId="108" borderId="75">
      <alignment horizontal="center" vertical="center"/>
    </xf>
    <xf numFmtId="0" fontId="117" fillId="108" borderId="75">
      <alignment horizontal="center" vertical="center"/>
    </xf>
    <xf numFmtId="0" fontId="117" fillId="108" borderId="75">
      <alignment horizontal="center" vertical="center"/>
    </xf>
    <xf numFmtId="0" fontId="117" fillId="108" borderId="75">
      <alignment horizontal="center" vertical="center"/>
    </xf>
    <xf numFmtId="0" fontId="117" fillId="108" borderId="75" applyNumberFormat="0" applyProtection="0">
      <alignment horizontal="center" vertical="center"/>
    </xf>
    <xf numFmtId="0" fontId="117" fillId="108" borderId="75">
      <alignment horizontal="center" vertical="center"/>
    </xf>
    <xf numFmtId="0" fontId="117" fillId="108" borderId="75" applyNumberFormat="0" applyProtection="0">
      <alignment horizontal="center" vertical="center"/>
    </xf>
    <xf numFmtId="0" fontId="117" fillId="108" borderId="75">
      <alignment horizontal="center" vertical="center"/>
    </xf>
    <xf numFmtId="0" fontId="117" fillId="108" borderId="75">
      <alignment horizontal="center" vertical="center"/>
    </xf>
    <xf numFmtId="0" fontId="117" fillId="108" borderId="75" applyNumberFormat="0" applyProtection="0">
      <alignment horizontal="center" vertical="center"/>
    </xf>
    <xf numFmtId="0" fontId="117" fillId="108" borderId="75">
      <alignment horizontal="center" vertical="center"/>
    </xf>
    <xf numFmtId="0" fontId="117" fillId="108" borderId="75">
      <alignment horizontal="center" vertical="center"/>
    </xf>
    <xf numFmtId="0" fontId="117" fillId="108" borderId="75" applyNumberFormat="0" applyProtection="0">
      <alignment horizontal="center" vertical="center"/>
    </xf>
    <xf numFmtId="0" fontId="117" fillId="108" borderId="75">
      <alignment horizontal="center" vertical="center"/>
    </xf>
    <xf numFmtId="0" fontId="117" fillId="108" borderId="75" applyNumberFormat="0" applyProtection="0">
      <alignment horizontal="center" vertical="center"/>
    </xf>
    <xf numFmtId="0" fontId="118" fillId="91" borderId="76">
      <alignment horizontal="left" vertical="top" wrapText="1"/>
    </xf>
    <xf numFmtId="0" fontId="118" fillId="91" borderId="76">
      <alignment horizontal="left" vertical="top" wrapText="1"/>
    </xf>
    <xf numFmtId="0" fontId="118" fillId="91" borderId="76">
      <alignment horizontal="left" vertical="top" wrapText="1"/>
    </xf>
    <xf numFmtId="0" fontId="118" fillId="91" borderId="77" applyNumberFormat="0" applyProtection="0">
      <alignment horizontal="left" vertical="top" wrapText="1"/>
    </xf>
    <xf numFmtId="0" fontId="118" fillId="91" borderId="76">
      <alignment horizontal="left" vertical="top" wrapText="1"/>
    </xf>
    <xf numFmtId="0" fontId="118" fillId="91" borderId="76">
      <alignment horizontal="left" vertical="top" wrapText="1"/>
    </xf>
    <xf numFmtId="0" fontId="118" fillId="91" borderId="77" applyNumberFormat="0" applyProtection="0">
      <alignment horizontal="left" vertical="top" wrapText="1"/>
    </xf>
    <xf numFmtId="0" fontId="118" fillId="91" borderId="76">
      <alignment horizontal="left" vertical="top" wrapText="1"/>
    </xf>
    <xf numFmtId="0" fontId="118" fillId="91" borderId="77" applyNumberFormat="0" applyProtection="0">
      <alignment horizontal="left" vertical="top" wrapText="1"/>
    </xf>
    <xf numFmtId="49" fontId="114" fillId="109" borderId="59">
      <alignment vertical="center" wrapText="1"/>
    </xf>
    <xf numFmtId="49" fontId="114" fillId="109" borderId="78">
      <alignment vertical="center" wrapText="1"/>
    </xf>
    <xf numFmtId="49" fontId="114" fillId="109" borderId="78">
      <alignment vertical="center" wrapText="1"/>
    </xf>
    <xf numFmtId="49" fontId="114" fillId="109" borderId="79" applyProtection="0">
      <alignment vertical="center" wrapText="1"/>
    </xf>
    <xf numFmtId="49" fontId="114" fillId="109" borderId="78">
      <alignment vertical="center" wrapText="1"/>
    </xf>
    <xf numFmtId="49" fontId="114" fillId="109" borderId="78">
      <alignment vertical="center" wrapText="1"/>
    </xf>
    <xf numFmtId="49" fontId="114" fillId="109" borderId="79" applyProtection="0">
      <alignment vertical="center" wrapText="1"/>
    </xf>
    <xf numFmtId="49" fontId="114" fillId="109" borderId="78">
      <alignment vertical="center" wrapText="1"/>
    </xf>
    <xf numFmtId="49" fontId="114" fillId="109" borderId="78">
      <alignment vertical="center" wrapText="1"/>
    </xf>
    <xf numFmtId="49" fontId="114" fillId="109" borderId="79" applyProtection="0">
      <alignment vertical="center" wrapText="1"/>
    </xf>
    <xf numFmtId="49" fontId="114" fillId="103" borderId="78">
      <alignment vertical="center" wrapText="1"/>
    </xf>
    <xf numFmtId="49" fontId="114" fillId="103" borderId="78">
      <alignment vertical="center" wrapText="1"/>
    </xf>
    <xf numFmtId="49" fontId="114" fillId="103" borderId="79" applyProtection="0">
      <alignment vertical="center" wrapText="1"/>
    </xf>
    <xf numFmtId="49" fontId="114" fillId="109" borderId="59">
      <alignment vertical="center" wrapText="1"/>
    </xf>
    <xf numFmtId="49" fontId="114" fillId="109" borderId="65" applyProtection="0">
      <alignment vertical="center" wrapText="1"/>
    </xf>
    <xf numFmtId="49" fontId="114" fillId="110" borderId="59">
      <alignment wrapText="1"/>
    </xf>
    <xf numFmtId="49" fontId="114" fillId="110" borderId="78">
      <alignment wrapText="1"/>
    </xf>
    <xf numFmtId="49" fontId="114" fillId="110" borderId="78">
      <alignment wrapText="1"/>
    </xf>
    <xf numFmtId="49" fontId="114" fillId="110" borderId="79" applyProtection="0">
      <alignment wrapText="1"/>
    </xf>
    <xf numFmtId="49" fontId="114" fillId="110" borderId="78">
      <alignment wrapText="1"/>
    </xf>
    <xf numFmtId="49" fontId="114" fillId="110" borderId="78">
      <alignment wrapText="1"/>
    </xf>
    <xf numFmtId="49" fontId="114" fillId="110" borderId="79" applyProtection="0">
      <alignment wrapText="1"/>
    </xf>
    <xf numFmtId="49" fontId="114" fillId="110" borderId="59">
      <alignment wrapText="1"/>
    </xf>
    <xf numFmtId="49" fontId="114" fillId="110" borderId="65" applyProtection="0">
      <alignment wrapText="1"/>
    </xf>
    <xf numFmtId="49" fontId="114" fillId="111" borderId="59">
      <alignment wrapText="1"/>
    </xf>
    <xf numFmtId="49" fontId="114" fillId="111" borderId="59">
      <alignment wrapText="1"/>
    </xf>
    <xf numFmtId="49" fontId="114" fillId="112" borderId="59">
      <alignment wrapText="1"/>
    </xf>
    <xf numFmtId="49" fontId="114" fillId="112" borderId="59">
      <alignment wrapText="1"/>
    </xf>
    <xf numFmtId="49" fontId="114" fillId="112" borderId="65" applyProtection="0">
      <alignment wrapText="1"/>
    </xf>
    <xf numFmtId="49" fontId="114" fillId="111" borderId="59">
      <alignment wrapText="1"/>
    </xf>
    <xf numFmtId="49" fontId="114" fillId="111" borderId="65" applyProtection="0">
      <alignment wrapText="1"/>
    </xf>
    <xf numFmtId="49" fontId="114" fillId="107" borderId="59">
      <alignment wrapText="1"/>
    </xf>
    <xf numFmtId="49" fontId="114" fillId="107" borderId="59">
      <alignment wrapText="1"/>
    </xf>
    <xf numFmtId="49" fontId="114" fillId="107" borderId="65" applyProtection="0">
      <alignment wrapText="1"/>
    </xf>
    <xf numFmtId="49" fontId="114" fillId="111" borderId="59">
      <alignment wrapText="1"/>
    </xf>
    <xf numFmtId="49" fontId="114" fillId="111" borderId="65" applyProtection="0">
      <alignment wrapText="1"/>
    </xf>
    <xf numFmtId="49" fontId="114" fillId="112" borderId="59">
      <alignment vertical="center" wrapText="1"/>
    </xf>
    <xf numFmtId="49" fontId="114" fillId="113" borderId="78">
      <alignment vertical="center" wrapText="1"/>
    </xf>
    <xf numFmtId="49" fontId="114" fillId="107" borderId="78">
      <alignment vertical="center" wrapText="1"/>
    </xf>
    <xf numFmtId="49" fontId="114" fillId="107" borderId="78">
      <alignment vertical="center" wrapText="1"/>
    </xf>
    <xf numFmtId="49" fontId="114" fillId="107" borderId="79" applyProtection="0">
      <alignment vertical="center" wrapText="1"/>
    </xf>
    <xf numFmtId="49" fontId="114" fillId="113" borderId="78">
      <alignment vertical="center" wrapText="1"/>
    </xf>
    <xf numFmtId="49" fontId="114" fillId="113" borderId="79" applyProtection="0">
      <alignment vertical="center" wrapText="1"/>
    </xf>
    <xf numFmtId="49" fontId="114" fillId="107" borderId="78">
      <alignment vertical="center" wrapText="1"/>
    </xf>
    <xf numFmtId="49" fontId="114" fillId="107" borderId="78">
      <alignment vertical="center" wrapText="1"/>
    </xf>
    <xf numFmtId="49" fontId="114" fillId="107" borderId="79" applyProtection="0">
      <alignment vertical="center" wrapText="1"/>
    </xf>
    <xf numFmtId="49" fontId="114" fillId="114" borderId="78">
      <alignment vertical="center" wrapText="1"/>
    </xf>
    <xf numFmtId="49" fontId="114" fillId="114" borderId="78">
      <alignment vertical="center" wrapText="1"/>
    </xf>
    <xf numFmtId="49" fontId="114" fillId="114" borderId="79" applyProtection="0">
      <alignment vertical="center" wrapText="1"/>
    </xf>
    <xf numFmtId="49" fontId="114" fillId="96" borderId="78">
      <alignment vertical="center" wrapText="1"/>
    </xf>
    <xf numFmtId="49" fontId="114" fillId="96" borderId="78">
      <alignment vertical="center" wrapText="1"/>
    </xf>
    <xf numFmtId="49" fontId="114" fillId="96" borderId="79" applyProtection="0">
      <alignment vertical="center" wrapText="1"/>
    </xf>
    <xf numFmtId="49" fontId="114" fillId="112" borderId="59">
      <alignment vertical="center" wrapText="1"/>
    </xf>
    <xf numFmtId="49" fontId="114" fillId="112" borderId="65" applyProtection="0">
      <alignment vertical="center" wrapText="1"/>
    </xf>
    <xf numFmtId="49" fontId="114" fillId="111" borderId="59">
      <alignment wrapText="1"/>
    </xf>
    <xf numFmtId="49" fontId="114" fillId="80" borderId="78">
      <alignment wrapText="1"/>
    </xf>
    <xf numFmtId="49" fontId="114" fillId="80" borderId="78">
      <alignment wrapText="1"/>
    </xf>
    <xf numFmtId="49" fontId="114" fillId="80" borderId="79" applyProtection="0">
      <alignment wrapText="1"/>
    </xf>
    <xf numFmtId="49" fontId="114" fillId="113" borderId="78">
      <alignment wrapText="1"/>
    </xf>
    <xf numFmtId="49" fontId="114" fillId="113" borderId="78">
      <alignment wrapText="1"/>
    </xf>
    <xf numFmtId="49" fontId="114" fillId="113" borderId="79" applyProtection="0">
      <alignment wrapText="1"/>
    </xf>
    <xf numFmtId="49" fontId="114" fillId="80" borderId="78">
      <alignment wrapText="1"/>
    </xf>
    <xf numFmtId="49" fontId="114" fillId="80" borderId="78">
      <alignment wrapText="1"/>
    </xf>
    <xf numFmtId="49" fontId="114" fillId="80" borderId="79" applyProtection="0">
      <alignment wrapText="1"/>
    </xf>
    <xf numFmtId="49" fontId="114" fillId="86" borderId="78">
      <alignment wrapText="1"/>
    </xf>
    <xf numFmtId="49" fontId="114" fillId="86" borderId="78">
      <alignment wrapText="1"/>
    </xf>
    <xf numFmtId="49" fontId="114" fillId="86" borderId="79" applyProtection="0">
      <alignment wrapText="1"/>
    </xf>
    <xf numFmtId="49" fontId="114" fillId="111" borderId="59">
      <alignment wrapText="1"/>
    </xf>
    <xf numFmtId="49" fontId="114" fillId="111" borderId="65" applyProtection="0">
      <alignment wrapText="1"/>
    </xf>
    <xf numFmtId="49" fontId="114" fillId="115" borderId="59">
      <alignment vertical="center" wrapText="1"/>
    </xf>
    <xf numFmtId="49" fontId="114" fillId="116" borderId="78">
      <alignment vertical="center" wrapText="1"/>
    </xf>
    <xf numFmtId="49" fontId="114" fillId="116" borderId="78">
      <alignment vertical="center" wrapText="1"/>
    </xf>
    <xf numFmtId="49" fontId="114" fillId="116" borderId="79" applyProtection="0">
      <alignment vertical="center" wrapText="1"/>
    </xf>
    <xf numFmtId="49" fontId="114" fillId="101" borderId="78">
      <alignment vertical="center" wrapText="1"/>
    </xf>
    <xf numFmtId="49" fontId="114" fillId="101" borderId="78">
      <alignment vertical="center" wrapText="1"/>
    </xf>
    <xf numFmtId="49" fontId="114" fillId="101" borderId="79" applyProtection="0">
      <alignment vertical="center" wrapText="1"/>
    </xf>
    <xf numFmtId="49" fontId="114" fillId="109" borderId="78">
      <alignment vertical="center" wrapText="1"/>
    </xf>
    <xf numFmtId="49" fontId="114" fillId="109" borderId="78">
      <alignment vertical="center" wrapText="1"/>
    </xf>
    <xf numFmtId="49" fontId="114" fillId="109" borderId="79" applyProtection="0">
      <alignment vertical="center" wrapText="1"/>
    </xf>
    <xf numFmtId="49" fontId="114" fillId="115" borderId="59">
      <alignment vertical="center" wrapText="1"/>
    </xf>
    <xf numFmtId="49" fontId="114" fillId="115" borderId="65" applyProtection="0">
      <alignment vertical="center" wrapText="1"/>
    </xf>
    <xf numFmtId="49" fontId="114" fillId="109" borderId="59">
      <alignment vertical="center" wrapText="1"/>
    </xf>
    <xf numFmtId="49" fontId="114" fillId="114" borderId="78">
      <alignment vertical="center" wrapText="1"/>
    </xf>
    <xf numFmtId="49" fontId="114" fillId="93" borderId="78">
      <alignment vertical="center" wrapText="1"/>
    </xf>
    <xf numFmtId="49" fontId="114" fillId="93" borderId="78">
      <alignment vertical="center" wrapText="1"/>
    </xf>
    <xf numFmtId="49" fontId="114" fillId="93" borderId="79" applyProtection="0">
      <alignment vertical="center" wrapText="1"/>
    </xf>
    <xf numFmtId="49" fontId="114" fillId="114" borderId="78">
      <alignment vertical="center" wrapText="1"/>
    </xf>
    <xf numFmtId="49" fontId="114" fillId="114" borderId="79" applyProtection="0">
      <alignment vertical="center" wrapText="1"/>
    </xf>
    <xf numFmtId="49" fontId="114" fillId="92" borderId="78">
      <alignment vertical="center" wrapText="1"/>
    </xf>
    <xf numFmtId="49" fontId="114" fillId="92" borderId="78">
      <alignment vertical="center" wrapText="1"/>
    </xf>
    <xf numFmtId="49" fontId="114" fillId="92" borderId="79" applyProtection="0">
      <alignment vertical="center" wrapText="1"/>
    </xf>
    <xf numFmtId="49" fontId="114" fillId="117" borderId="78">
      <alignment vertical="center" wrapText="1"/>
    </xf>
    <xf numFmtId="49" fontId="114" fillId="117" borderId="78">
      <alignment vertical="center" wrapText="1"/>
    </xf>
    <xf numFmtId="49" fontId="114" fillId="117" borderId="79" applyProtection="0">
      <alignment vertical="center" wrapText="1"/>
    </xf>
    <xf numFmtId="49" fontId="114" fillId="93" borderId="78">
      <alignment vertical="center" wrapText="1"/>
    </xf>
    <xf numFmtId="49" fontId="114" fillId="93" borderId="78">
      <alignment vertical="center" wrapText="1"/>
    </xf>
    <xf numFmtId="49" fontId="114" fillId="93" borderId="79" applyProtection="0">
      <alignment vertical="center" wrapText="1"/>
    </xf>
    <xf numFmtId="49" fontId="114" fillId="109" borderId="59">
      <alignment vertical="center" wrapText="1"/>
    </xf>
    <xf numFmtId="49" fontId="114" fillId="109" borderId="65" applyProtection="0">
      <alignment vertical="center" wrapText="1"/>
    </xf>
    <xf numFmtId="49" fontId="114" fillId="87" borderId="0">
      <alignment vertical="center" wrapText="1"/>
    </xf>
    <xf numFmtId="49" fontId="114" fillId="113" borderId="80">
      <alignment vertical="center" wrapText="1"/>
    </xf>
    <xf numFmtId="49" fontId="114" fillId="87" borderId="80">
      <alignment vertical="center" wrapText="1"/>
    </xf>
    <xf numFmtId="49" fontId="114" fillId="87" borderId="80">
      <alignment vertical="center" wrapText="1"/>
    </xf>
    <xf numFmtId="49" fontId="114" fillId="87" borderId="80" applyProtection="0">
      <alignment vertical="center" wrapText="1"/>
    </xf>
    <xf numFmtId="49" fontId="114" fillId="113" borderId="80">
      <alignment vertical="center" wrapText="1"/>
    </xf>
    <xf numFmtId="49" fontId="114" fillId="113" borderId="80" applyProtection="0">
      <alignment vertical="center" wrapText="1"/>
    </xf>
    <xf numFmtId="49" fontId="114" fillId="87" borderId="80">
      <alignment vertical="center" wrapText="1"/>
    </xf>
    <xf numFmtId="49" fontId="114" fillId="87" borderId="80">
      <alignment vertical="center" wrapText="1"/>
    </xf>
    <xf numFmtId="49" fontId="114" fillId="87" borderId="80" applyProtection="0">
      <alignment vertical="center" wrapText="1"/>
    </xf>
    <xf numFmtId="49" fontId="114" fillId="87" borderId="80">
      <alignment vertical="center" wrapText="1"/>
    </xf>
    <xf numFmtId="49" fontId="114" fillId="87" borderId="80">
      <alignment vertical="center" wrapText="1"/>
    </xf>
    <xf numFmtId="49" fontId="114" fillId="87" borderId="80" applyProtection="0">
      <alignment vertical="center" wrapText="1"/>
    </xf>
    <xf numFmtId="49" fontId="114" fillId="87" borderId="80">
      <alignment vertical="center" wrapText="1"/>
    </xf>
    <xf numFmtId="49" fontId="114" fillId="87" borderId="80">
      <alignment vertical="center" wrapText="1"/>
    </xf>
    <xf numFmtId="49" fontId="114" fillId="87" borderId="80" applyProtection="0">
      <alignment vertical="center" wrapText="1"/>
    </xf>
    <xf numFmtId="49" fontId="114" fillId="87" borderId="0">
      <alignment vertical="center" wrapText="1"/>
    </xf>
    <xf numFmtId="49" fontId="114" fillId="87" borderId="0" applyBorder="0" applyProtection="0">
      <alignment vertical="center" wrapText="1"/>
    </xf>
    <xf numFmtId="49" fontId="119" fillId="83" borderId="0">
      <alignment vertical="center" wrapText="1"/>
    </xf>
    <xf numFmtId="49" fontId="120" fillId="83" borderId="0">
      <alignment vertical="center" wrapText="1" shrinkToFit="1"/>
    </xf>
    <xf numFmtId="49" fontId="121" fillId="83" borderId="0">
      <alignment vertical="center" wrapText="1" shrinkToFit="1"/>
    </xf>
    <xf numFmtId="49" fontId="121" fillId="83" borderId="0">
      <alignment vertical="center" wrapText="1" shrinkToFit="1"/>
    </xf>
    <xf numFmtId="49" fontId="121" fillId="83" borderId="0" applyBorder="0" applyProtection="0">
      <alignment vertical="center" wrapText="1" shrinkToFit="1"/>
    </xf>
    <xf numFmtId="49" fontId="120" fillId="83" borderId="0">
      <alignment vertical="center" wrapText="1" shrinkToFit="1"/>
    </xf>
    <xf numFmtId="49" fontId="120" fillId="83" borderId="0" applyBorder="0" applyProtection="0">
      <alignment vertical="center" wrapText="1" shrinkToFit="1"/>
    </xf>
    <xf numFmtId="49" fontId="119" fillId="83" borderId="0">
      <alignment vertical="center" wrapText="1" shrinkToFit="1"/>
    </xf>
    <xf numFmtId="49" fontId="119" fillId="83" borderId="0">
      <alignment vertical="center" wrapText="1" shrinkToFit="1"/>
    </xf>
    <xf numFmtId="49" fontId="119" fillId="83" borderId="0" applyBorder="0" applyProtection="0">
      <alignment vertical="center" wrapText="1" shrinkToFit="1"/>
    </xf>
    <xf numFmtId="49" fontId="122" fillId="83" borderId="0">
      <alignment vertical="center" wrapText="1" shrinkToFit="1"/>
    </xf>
    <xf numFmtId="49" fontId="122" fillId="83" borderId="0">
      <alignment vertical="center" wrapText="1" shrinkToFit="1"/>
    </xf>
    <xf numFmtId="49" fontId="122" fillId="83" borderId="0" applyBorder="0" applyProtection="0">
      <alignment vertical="center" wrapText="1" shrinkToFit="1"/>
    </xf>
    <xf numFmtId="49" fontId="121" fillId="83" borderId="0">
      <alignment vertical="center" wrapText="1" shrinkToFit="1"/>
    </xf>
    <xf numFmtId="49" fontId="121" fillId="83" borderId="0">
      <alignment vertical="center" wrapText="1" shrinkToFit="1"/>
    </xf>
    <xf numFmtId="49" fontId="121" fillId="83" borderId="0" applyBorder="0" applyProtection="0">
      <alignment vertical="center" wrapText="1" shrinkToFit="1"/>
    </xf>
    <xf numFmtId="49" fontId="119" fillId="83" borderId="0">
      <alignment vertical="center" wrapText="1"/>
    </xf>
    <xf numFmtId="49" fontId="119" fillId="83" borderId="0" applyBorder="0" applyProtection="0">
      <alignment vertical="center" wrapText="1"/>
    </xf>
    <xf numFmtId="49" fontId="123" fillId="83" borderId="0">
      <alignment vertical="center" wrapText="1"/>
    </xf>
    <xf numFmtId="49" fontId="123" fillId="83" borderId="0">
      <alignment vertical="center" wrapText="1"/>
    </xf>
    <xf numFmtId="49" fontId="123" fillId="83" borderId="0">
      <alignment vertical="center" wrapText="1"/>
    </xf>
    <xf numFmtId="49" fontId="123" fillId="83" borderId="0">
      <alignment vertical="center" wrapText="1"/>
    </xf>
    <xf numFmtId="49" fontId="123" fillId="83" borderId="0" applyBorder="0" applyProtection="0">
      <alignment vertical="center" wrapText="1"/>
    </xf>
    <xf numFmtId="49" fontId="123" fillId="83" borderId="0">
      <alignment vertical="center" wrapText="1"/>
    </xf>
    <xf numFmtId="49" fontId="123" fillId="83" borderId="0" applyBorder="0" applyProtection="0">
      <alignment vertical="center" wrapText="1"/>
    </xf>
    <xf numFmtId="49" fontId="123" fillId="83" borderId="0">
      <alignment vertical="center" wrapText="1"/>
    </xf>
    <xf numFmtId="49" fontId="123" fillId="83" borderId="0">
      <alignment vertical="center" wrapText="1"/>
    </xf>
    <xf numFmtId="49" fontId="123" fillId="83" borderId="0" applyBorder="0" applyProtection="0">
      <alignment vertical="center" wrapText="1"/>
    </xf>
    <xf numFmtId="49" fontId="123" fillId="83" borderId="0">
      <alignment vertical="center" wrapText="1"/>
    </xf>
    <xf numFmtId="49" fontId="123" fillId="83" borderId="0" applyBorder="0" applyProtection="0">
      <alignment vertical="center" wrapText="1"/>
    </xf>
    <xf numFmtId="49" fontId="114" fillId="79" borderId="0">
      <alignment vertical="center" wrapText="1"/>
    </xf>
    <xf numFmtId="49" fontId="114" fillId="79" borderId="0">
      <alignment vertical="center" wrapText="1"/>
    </xf>
    <xf numFmtId="49" fontId="114" fillId="105" borderId="0">
      <alignment vertical="center" wrapText="1"/>
    </xf>
    <xf numFmtId="49" fontId="114" fillId="105" borderId="0">
      <alignment vertical="center" wrapText="1"/>
    </xf>
    <xf numFmtId="49" fontId="114" fillId="105" borderId="0" applyBorder="0" applyProtection="0">
      <alignment vertical="center" wrapText="1"/>
    </xf>
    <xf numFmtId="49" fontId="114" fillId="79" borderId="0">
      <alignment vertical="center" wrapText="1"/>
    </xf>
    <xf numFmtId="49" fontId="114" fillId="79" borderId="0" applyBorder="0" applyProtection="0">
      <alignment vertical="center" wrapText="1"/>
    </xf>
    <xf numFmtId="49" fontId="114" fillId="79" borderId="0">
      <alignment vertical="center" wrapText="1"/>
    </xf>
    <xf numFmtId="49" fontId="114" fillId="79" borderId="0">
      <alignment vertical="center" wrapText="1"/>
    </xf>
    <xf numFmtId="49" fontId="114" fillId="79" borderId="0" applyBorder="0" applyProtection="0">
      <alignment vertical="center" wrapText="1"/>
    </xf>
    <xf numFmtId="49" fontId="114" fillId="79" borderId="0">
      <alignment vertical="center" wrapText="1"/>
    </xf>
    <xf numFmtId="49" fontId="114" fillId="79" borderId="0">
      <alignment vertical="center" wrapText="1"/>
    </xf>
    <xf numFmtId="49" fontId="114" fillId="79" borderId="0" applyBorder="0" applyProtection="0">
      <alignment vertical="center" wrapText="1"/>
    </xf>
    <xf numFmtId="49" fontId="114" fillId="104" borderId="0">
      <alignment vertical="center" wrapText="1"/>
    </xf>
    <xf numFmtId="49" fontId="114" fillId="104" borderId="0">
      <alignment vertical="center" wrapText="1"/>
    </xf>
    <xf numFmtId="49" fontId="114" fillId="104" borderId="0" applyBorder="0" applyProtection="0">
      <alignment vertical="center" wrapText="1"/>
    </xf>
    <xf numFmtId="49" fontId="114" fillId="79" borderId="0">
      <alignment vertical="center" wrapText="1"/>
    </xf>
    <xf numFmtId="49" fontId="114" fillId="79" borderId="0" applyBorder="0" applyProtection="0">
      <alignment vertical="center" wrapText="1"/>
    </xf>
    <xf numFmtId="49" fontId="123" fillId="118" borderId="0">
      <alignment vertical="center" wrapText="1"/>
    </xf>
    <xf numFmtId="49" fontId="123" fillId="118" borderId="0">
      <alignment vertical="center" wrapText="1" shrinkToFit="1"/>
    </xf>
    <xf numFmtId="49" fontId="123" fillId="118" borderId="0">
      <alignment vertical="center" wrapText="1" shrinkToFit="1"/>
    </xf>
    <xf numFmtId="49" fontId="123" fillId="118" borderId="0" applyBorder="0" applyProtection="0">
      <alignment vertical="center" wrapText="1" shrinkToFit="1"/>
    </xf>
    <xf numFmtId="49" fontId="123" fillId="119" borderId="0">
      <alignment vertical="center" wrapText="1" shrinkToFit="1"/>
    </xf>
    <xf numFmtId="49" fontId="123" fillId="119" borderId="0">
      <alignment vertical="center" wrapText="1" shrinkToFit="1"/>
    </xf>
    <xf numFmtId="49" fontId="123" fillId="119" borderId="0" applyBorder="0" applyProtection="0">
      <alignment vertical="center" wrapText="1" shrinkToFit="1"/>
    </xf>
    <xf numFmtId="49" fontId="123" fillId="118" borderId="0">
      <alignment vertical="center" wrapText="1" shrinkToFit="1"/>
    </xf>
    <xf numFmtId="49" fontId="123" fillId="118" borderId="0">
      <alignment vertical="center" wrapText="1" shrinkToFit="1"/>
    </xf>
    <xf numFmtId="49" fontId="123" fillId="118" borderId="0" applyBorder="0" applyProtection="0">
      <alignment vertical="center" wrapText="1" shrinkToFit="1"/>
    </xf>
    <xf numFmtId="49" fontId="123" fillId="118" borderId="0">
      <alignment vertical="center" wrapText="1"/>
    </xf>
    <xf numFmtId="49" fontId="123" fillId="118" borderId="0" applyBorder="0" applyProtection="0">
      <alignment vertical="center" wrapText="1"/>
    </xf>
    <xf numFmtId="49" fontId="114" fillId="119" borderId="0">
      <alignment vertical="center" wrapText="1"/>
    </xf>
    <xf numFmtId="49" fontId="114" fillId="98" borderId="0">
      <alignment vertical="center" wrapText="1"/>
    </xf>
    <xf numFmtId="49" fontId="114" fillId="98" borderId="0">
      <alignment vertical="center" wrapText="1"/>
    </xf>
    <xf numFmtId="49" fontId="114" fillId="98" borderId="0" applyBorder="0" applyProtection="0">
      <alignment vertical="center" wrapText="1"/>
    </xf>
    <xf numFmtId="49" fontId="114" fillId="96" borderId="0">
      <alignment vertical="center" wrapText="1"/>
    </xf>
    <xf numFmtId="49" fontId="114" fillId="96" borderId="0">
      <alignment vertical="center" wrapText="1"/>
    </xf>
    <xf numFmtId="49" fontId="114" fillId="96" borderId="0" applyBorder="0" applyProtection="0">
      <alignment vertical="center" wrapText="1"/>
    </xf>
    <xf numFmtId="49" fontId="114" fillId="98" borderId="0">
      <alignment vertical="center" wrapText="1"/>
    </xf>
    <xf numFmtId="49" fontId="114" fillId="98" borderId="0">
      <alignment vertical="center" wrapText="1"/>
    </xf>
    <xf numFmtId="49" fontId="114" fillId="98" borderId="0" applyBorder="0" applyProtection="0">
      <alignment vertical="center" wrapText="1"/>
    </xf>
    <xf numFmtId="49" fontId="114" fillId="76" borderId="0">
      <alignment vertical="center" wrapText="1"/>
    </xf>
    <xf numFmtId="49" fontId="114" fillId="76" borderId="0">
      <alignment vertical="center" wrapText="1"/>
    </xf>
    <xf numFmtId="49" fontId="114" fillId="76" borderId="0" applyBorder="0" applyProtection="0">
      <alignment vertical="center" wrapText="1"/>
    </xf>
    <xf numFmtId="49" fontId="114" fillId="119" borderId="0">
      <alignment vertical="center" wrapText="1"/>
    </xf>
    <xf numFmtId="49" fontId="114" fillId="119" borderId="0" applyBorder="0" applyProtection="0">
      <alignment vertical="center" wrapText="1"/>
    </xf>
    <xf numFmtId="49" fontId="124" fillId="96" borderId="61">
      <alignment vertical="center" wrapText="1"/>
    </xf>
    <xf numFmtId="49" fontId="124" fillId="114" borderId="61">
      <alignment vertical="center" wrapText="1"/>
    </xf>
    <xf numFmtId="49" fontId="125" fillId="114" borderId="61">
      <alignment vertical="center" wrapText="1"/>
    </xf>
    <xf numFmtId="49" fontId="125" fillId="114" borderId="81" applyProtection="0">
      <alignment vertical="center" wrapText="1"/>
    </xf>
    <xf numFmtId="49" fontId="124" fillId="114" borderId="61">
      <alignment vertical="center" wrapText="1"/>
    </xf>
    <xf numFmtId="49" fontId="125" fillId="114" borderId="61">
      <alignment vertical="center" wrapText="1"/>
    </xf>
    <xf numFmtId="49" fontId="125" fillId="114" borderId="81" applyProtection="0">
      <alignment vertical="center" wrapText="1"/>
    </xf>
    <xf numFmtId="49" fontId="124" fillId="88" borderId="61">
      <alignment vertical="center" wrapText="1"/>
    </xf>
    <xf numFmtId="49" fontId="125" fillId="88" borderId="61">
      <alignment vertical="center" wrapText="1"/>
    </xf>
    <xf numFmtId="49" fontId="125" fillId="88" borderId="81" applyProtection="0">
      <alignment vertical="center" wrapText="1"/>
    </xf>
    <xf numFmtId="49" fontId="124" fillId="94" borderId="61">
      <alignment vertical="center" wrapText="1"/>
    </xf>
    <xf numFmtId="49" fontId="125" fillId="94" borderId="61">
      <alignment vertical="center" wrapText="1"/>
    </xf>
    <xf numFmtId="49" fontId="125" fillId="94" borderId="81" applyProtection="0">
      <alignment vertical="center" wrapText="1"/>
    </xf>
    <xf numFmtId="49" fontId="125" fillId="96" borderId="61">
      <alignment vertical="center" wrapText="1"/>
    </xf>
    <xf numFmtId="49" fontId="125" fillId="96" borderId="81" applyProtection="0">
      <alignment vertical="center" wrapText="1"/>
    </xf>
    <xf numFmtId="0" fontId="126" fillId="80" borderId="62">
      <alignment horizontal="left" vertical="center" wrapText="1"/>
    </xf>
    <xf numFmtId="0" fontId="126" fillId="96" borderId="62">
      <alignment horizontal="left" vertical="center" wrapText="1"/>
    </xf>
    <xf numFmtId="0" fontId="126" fillId="120" borderId="62">
      <alignment horizontal="left" vertical="center" wrapText="1"/>
    </xf>
    <xf numFmtId="0" fontId="127" fillId="120" borderId="62">
      <alignment horizontal="left" vertical="center" wrapText="1"/>
    </xf>
    <xf numFmtId="0" fontId="127" fillId="120" borderId="82" applyNumberFormat="0" applyProtection="0">
      <alignment horizontal="left" vertical="center" wrapText="1"/>
    </xf>
    <xf numFmtId="0" fontId="127" fillId="96" borderId="62">
      <alignment horizontal="left" vertical="center" wrapText="1"/>
    </xf>
    <xf numFmtId="0" fontId="127" fillId="96" borderId="82" applyNumberFormat="0" applyProtection="0">
      <alignment horizontal="left" vertical="center" wrapText="1"/>
    </xf>
    <xf numFmtId="0" fontId="126" fillId="96" borderId="62">
      <alignment horizontal="left" vertical="center" wrapText="1"/>
    </xf>
    <xf numFmtId="0" fontId="127" fillId="96" borderId="62">
      <alignment horizontal="left" vertical="center" wrapText="1"/>
    </xf>
    <xf numFmtId="0" fontId="127" fillId="96" borderId="82" applyNumberFormat="0" applyProtection="0">
      <alignment horizontal="left" vertical="center" wrapText="1"/>
    </xf>
    <xf numFmtId="0" fontId="126" fillId="120" borderId="62">
      <alignment horizontal="left" vertical="center" wrapText="1"/>
    </xf>
    <xf numFmtId="0" fontId="127" fillId="120" borderId="62">
      <alignment horizontal="left" vertical="center" wrapText="1"/>
    </xf>
    <xf numFmtId="0" fontId="127" fillId="120" borderId="82" applyNumberFormat="0" applyProtection="0">
      <alignment horizontal="left" vertical="center" wrapText="1"/>
    </xf>
    <xf numFmtId="0" fontId="127" fillId="80" borderId="62">
      <alignment horizontal="left" vertical="center" wrapText="1"/>
    </xf>
    <xf numFmtId="0" fontId="127" fillId="80" borderId="82" applyNumberFormat="0" applyProtection="0">
      <alignment horizontal="left" vertical="center" wrapText="1"/>
    </xf>
    <xf numFmtId="49" fontId="114" fillId="99" borderId="83">
      <alignment vertical="center" wrapText="1"/>
    </xf>
    <xf numFmtId="49" fontId="114" fillId="97" borderId="83">
      <alignment vertical="center" wrapText="1"/>
    </xf>
    <xf numFmtId="49" fontId="114" fillId="97" borderId="83">
      <alignment vertical="center" wrapText="1"/>
    </xf>
    <xf numFmtId="49" fontId="114" fillId="97" borderId="83" applyProtection="0">
      <alignment vertical="center" wrapText="1"/>
    </xf>
    <xf numFmtId="49" fontId="114" fillId="104" borderId="83">
      <alignment vertical="center" wrapText="1"/>
    </xf>
    <xf numFmtId="49" fontId="114" fillId="104" borderId="83">
      <alignment vertical="center" wrapText="1"/>
    </xf>
    <xf numFmtId="49" fontId="114" fillId="104" borderId="83" applyProtection="0">
      <alignment vertical="center" wrapText="1"/>
    </xf>
    <xf numFmtId="49" fontId="114" fillId="121" borderId="83">
      <alignment vertical="center" wrapText="1"/>
    </xf>
    <xf numFmtId="49" fontId="114" fillId="121" borderId="83">
      <alignment vertical="center" wrapText="1"/>
    </xf>
    <xf numFmtId="49" fontId="114" fillId="121" borderId="83" applyProtection="0">
      <alignment vertical="center" wrapText="1"/>
    </xf>
    <xf numFmtId="49" fontId="114" fillId="97" borderId="83">
      <alignment vertical="center" wrapText="1"/>
    </xf>
    <xf numFmtId="49" fontId="114" fillId="97" borderId="83">
      <alignment vertical="center" wrapText="1"/>
    </xf>
    <xf numFmtId="49" fontId="114" fillId="97" borderId="83" applyProtection="0">
      <alignment vertical="center" wrapText="1"/>
    </xf>
    <xf numFmtId="49" fontId="114" fillId="99" borderId="83">
      <alignment vertical="center" wrapText="1"/>
    </xf>
    <xf numFmtId="49" fontId="114" fillId="99" borderId="83" applyProtection="0">
      <alignment vertical="center" wrapText="1"/>
    </xf>
    <xf numFmtId="49" fontId="114" fillId="97" borderId="83">
      <alignment vertical="center" wrapText="1"/>
    </xf>
    <xf numFmtId="49" fontId="114" fillId="96" borderId="83">
      <alignment vertical="center" wrapText="1"/>
    </xf>
    <xf numFmtId="49" fontId="114" fillId="96" borderId="83">
      <alignment vertical="center" wrapText="1"/>
    </xf>
    <xf numFmtId="49" fontId="114" fillId="96" borderId="83" applyProtection="0">
      <alignment vertical="center" wrapText="1"/>
    </xf>
    <xf numFmtId="49" fontId="114" fillId="99" borderId="83">
      <alignment vertical="center" wrapText="1"/>
    </xf>
    <xf numFmtId="49" fontId="114" fillId="99" borderId="83">
      <alignment vertical="center" wrapText="1"/>
    </xf>
    <xf numFmtId="49" fontId="114" fillId="99" borderId="83" applyProtection="0">
      <alignment vertical="center" wrapText="1"/>
    </xf>
    <xf numFmtId="49" fontId="114" fillId="79" borderId="83">
      <alignment vertical="center" wrapText="1"/>
    </xf>
    <xf numFmtId="49" fontId="114" fillId="79" borderId="83">
      <alignment vertical="center" wrapText="1"/>
    </xf>
    <xf numFmtId="49" fontId="114" fillId="79" borderId="83" applyProtection="0">
      <alignment vertical="center" wrapText="1"/>
    </xf>
    <xf numFmtId="49" fontId="114" fillId="97" borderId="83">
      <alignment vertical="center" wrapText="1"/>
    </xf>
    <xf numFmtId="49" fontId="114" fillId="97" borderId="83" applyProtection="0">
      <alignment vertical="center" wrapText="1"/>
    </xf>
    <xf numFmtId="49" fontId="114" fillId="94" borderId="83">
      <alignment vertical="center" wrapText="1"/>
    </xf>
    <xf numFmtId="49" fontId="114" fillId="92" borderId="83">
      <alignment vertical="center" wrapText="1"/>
    </xf>
    <xf numFmtId="49" fontId="114" fillId="92" borderId="83">
      <alignment vertical="center" wrapText="1"/>
    </xf>
    <xf numFmtId="49" fontId="114" fillId="92" borderId="83" applyProtection="0">
      <alignment vertical="center" wrapText="1"/>
    </xf>
    <xf numFmtId="49" fontId="114" fillId="103" borderId="83">
      <alignment vertical="center" wrapText="1"/>
    </xf>
    <xf numFmtId="49" fontId="114" fillId="103" borderId="83">
      <alignment vertical="center" wrapText="1"/>
    </xf>
    <xf numFmtId="49" fontId="114" fillId="103" borderId="83" applyProtection="0">
      <alignment vertical="center" wrapText="1"/>
    </xf>
    <xf numFmtId="49" fontId="114" fillId="94" borderId="83">
      <alignment vertical="center" wrapText="1"/>
    </xf>
    <xf numFmtId="49" fontId="114" fillId="94" borderId="83" applyProtection="0">
      <alignment vertical="center" wrapText="1"/>
    </xf>
    <xf numFmtId="49" fontId="114" fillId="92" borderId="83">
      <alignment vertical="center" wrapText="1"/>
    </xf>
    <xf numFmtId="49" fontId="114" fillId="84" borderId="83">
      <alignment vertical="center" wrapText="1"/>
    </xf>
    <xf numFmtId="49" fontId="114" fillId="84" borderId="83">
      <alignment vertical="center" wrapText="1"/>
    </xf>
    <xf numFmtId="49" fontId="114" fillId="84" borderId="83" applyProtection="0">
      <alignment vertical="center" wrapText="1"/>
    </xf>
    <xf numFmtId="49" fontId="114" fillId="97" borderId="83">
      <alignment vertical="center" wrapText="1"/>
    </xf>
    <xf numFmtId="49" fontId="114" fillId="97" borderId="83">
      <alignment vertical="center" wrapText="1"/>
    </xf>
    <xf numFmtId="49" fontId="114" fillId="97" borderId="83" applyProtection="0">
      <alignment vertical="center" wrapText="1"/>
    </xf>
    <xf numFmtId="49" fontId="114" fillId="92" borderId="83">
      <alignment vertical="center" wrapText="1"/>
    </xf>
    <xf numFmtId="49" fontId="114" fillId="92" borderId="83">
      <alignment vertical="center" wrapText="1"/>
    </xf>
    <xf numFmtId="49" fontId="114" fillId="92" borderId="83" applyProtection="0">
      <alignment vertical="center" wrapText="1"/>
    </xf>
    <xf numFmtId="49" fontId="114" fillId="84" borderId="83">
      <alignment vertical="center" wrapText="1"/>
    </xf>
    <xf numFmtId="49" fontId="114" fillId="84" borderId="83">
      <alignment vertical="center" wrapText="1"/>
    </xf>
    <xf numFmtId="49" fontId="114" fillId="84" borderId="83" applyProtection="0">
      <alignment vertical="center" wrapText="1"/>
    </xf>
    <xf numFmtId="49" fontId="114" fillId="92" borderId="83">
      <alignment vertical="center" wrapText="1"/>
    </xf>
    <xf numFmtId="49" fontId="114" fillId="92" borderId="83" applyProtection="0">
      <alignment vertical="center" wrapText="1"/>
    </xf>
    <xf numFmtId="49" fontId="114" fillId="84" borderId="83">
      <alignment vertical="center" wrapText="1"/>
    </xf>
    <xf numFmtId="49" fontId="114" fillId="84" borderId="83">
      <alignment vertical="center" wrapText="1"/>
    </xf>
    <xf numFmtId="49" fontId="114" fillId="84" borderId="83">
      <alignment vertical="center" wrapText="1"/>
    </xf>
    <xf numFmtId="49" fontId="114" fillId="84" borderId="83" applyProtection="0">
      <alignment vertical="center" wrapText="1"/>
    </xf>
    <xf numFmtId="49" fontId="114" fillId="84" borderId="83">
      <alignment vertical="center" wrapText="1"/>
    </xf>
    <xf numFmtId="49" fontId="114" fillId="84" borderId="83">
      <alignment vertical="center" wrapText="1"/>
    </xf>
    <xf numFmtId="49" fontId="114" fillId="84" borderId="83" applyProtection="0">
      <alignment vertical="center" wrapText="1"/>
    </xf>
    <xf numFmtId="49" fontId="114" fillId="84" borderId="83">
      <alignment vertical="center" wrapText="1"/>
    </xf>
    <xf numFmtId="49" fontId="114" fillId="84" borderId="83" applyProtection="0">
      <alignment vertical="center" wrapText="1"/>
    </xf>
    <xf numFmtId="49" fontId="78" fillId="86" borderId="84">
      <alignment vertical="top" wrapText="1"/>
    </xf>
    <xf numFmtId="49" fontId="78" fillId="89" borderId="84">
      <alignment vertical="top" wrapText="1"/>
    </xf>
    <xf numFmtId="49" fontId="78" fillId="89" borderId="84">
      <alignment vertical="top" wrapText="1"/>
    </xf>
    <xf numFmtId="49" fontId="79" fillId="89" borderId="84" applyProtection="0">
      <alignment vertical="top" wrapText="1"/>
    </xf>
    <xf numFmtId="49" fontId="78" fillId="89" borderId="85">
      <alignment vertical="top" wrapText="1"/>
    </xf>
    <xf numFmtId="49" fontId="78" fillId="89" borderId="85">
      <alignment vertical="top" wrapText="1"/>
    </xf>
    <xf numFmtId="49" fontId="79" fillId="89" borderId="85" applyProtection="0">
      <alignment vertical="top" wrapText="1"/>
    </xf>
    <xf numFmtId="49" fontId="78" fillId="86" borderId="84">
      <alignment vertical="top" wrapText="1"/>
    </xf>
    <xf numFmtId="49" fontId="79" fillId="86" borderId="84" applyProtection="0">
      <alignment vertical="top" wrapText="1"/>
    </xf>
    <xf numFmtId="0" fontId="92" fillId="100" borderId="0"/>
    <xf numFmtId="0" fontId="93" fillId="100" borderId="0"/>
    <xf numFmtId="0" fontId="93" fillId="100" borderId="0" applyNumberFormat="0" applyBorder="0" applyProtection="0"/>
    <xf numFmtId="0" fontId="92" fillId="77" borderId="0"/>
    <xf numFmtId="0" fontId="93" fillId="77" borderId="0"/>
    <xf numFmtId="0" fontId="93" fillId="77" borderId="0" applyNumberFormat="0" applyBorder="0" applyProtection="0"/>
    <xf numFmtId="0" fontId="92" fillId="122" borderId="0"/>
    <xf numFmtId="0" fontId="93" fillId="122" borderId="0"/>
    <xf numFmtId="0" fontId="93" fillId="122" borderId="0" applyNumberFormat="0" applyBorder="0" applyProtection="0"/>
    <xf numFmtId="0" fontId="92" fillId="96" borderId="0"/>
    <xf numFmtId="0" fontId="93" fillId="96" borderId="0"/>
    <xf numFmtId="0" fontId="93" fillId="96" borderId="0" applyNumberFormat="0" applyBorder="0" applyProtection="0"/>
    <xf numFmtId="0" fontId="92" fillId="95" borderId="0"/>
    <xf numFmtId="0" fontId="93" fillId="95" borderId="0"/>
    <xf numFmtId="0" fontId="93" fillId="95" borderId="0" applyNumberFormat="0" applyBorder="0" applyProtection="0"/>
    <xf numFmtId="0" fontId="92" fillId="104" borderId="0"/>
    <xf numFmtId="0" fontId="93" fillId="104" borderId="0"/>
    <xf numFmtId="0" fontId="93" fillId="104" borderId="0" applyNumberFormat="0" applyBorder="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173" fontId="78" fillId="0" borderId="0"/>
    <xf numFmtId="173" fontId="78" fillId="0" borderId="0"/>
    <xf numFmtId="173" fontId="79" fillId="0" borderId="0" applyBorder="0" applyProtection="0"/>
    <xf numFmtId="0" fontId="78" fillId="108" borderId="86"/>
    <xf numFmtId="0" fontId="78" fillId="108" borderId="86"/>
    <xf numFmtId="0" fontId="79" fillId="108" borderId="86" applyNumberFormat="0" applyProtection="0"/>
    <xf numFmtId="172" fontId="21" fillId="0" borderId="0" applyFont="0" applyFill="0" applyBorder="0" applyAlignment="0" applyProtection="0"/>
    <xf numFmtId="172" fontId="21" fillId="0" borderId="0" applyFont="0" applyFill="0" applyBorder="0" applyAlignment="0" applyProtection="0"/>
    <xf numFmtId="174" fontId="78" fillId="0" borderId="0"/>
    <xf numFmtId="174" fontId="78" fillId="0" borderId="0"/>
    <xf numFmtId="174" fontId="78" fillId="0" borderId="0"/>
    <xf numFmtId="174" fontId="79" fillId="0" borderId="0" applyBorder="0" applyProtection="0"/>
    <xf numFmtId="174" fontId="78" fillId="0" borderId="0"/>
    <xf numFmtId="174" fontId="79" fillId="0" borderId="0" applyBorder="0" applyProtection="0"/>
    <xf numFmtId="0" fontId="128" fillId="84" borderId="0">
      <alignment wrapText="1"/>
    </xf>
    <xf numFmtId="0" fontId="128" fillId="84" borderId="0">
      <alignment wrapText="1"/>
    </xf>
    <xf numFmtId="0" fontId="129" fillId="84" borderId="0" applyNumberFormat="0" applyBorder="0" applyProtection="0">
      <alignment wrapText="1"/>
    </xf>
    <xf numFmtId="0" fontId="128" fillId="88" borderId="0"/>
    <xf numFmtId="0" fontId="128" fillId="88" borderId="0"/>
    <xf numFmtId="0" fontId="129" fillId="88" borderId="0" applyNumberFormat="0" applyBorder="0" applyProtection="0"/>
    <xf numFmtId="3" fontId="130" fillId="0" borderId="84">
      <alignment horizontal="right" vertical="top"/>
    </xf>
    <xf numFmtId="169" fontId="131" fillId="0" borderId="87"/>
    <xf numFmtId="169" fontId="130" fillId="0" borderId="88"/>
    <xf numFmtId="169" fontId="130" fillId="0" borderId="88"/>
    <xf numFmtId="169" fontId="132" fillId="0" borderId="88" applyProtection="0"/>
    <xf numFmtId="169" fontId="131" fillId="0" borderId="87"/>
    <xf numFmtId="169" fontId="133" fillId="0" borderId="87" applyProtection="0"/>
    <xf numFmtId="169" fontId="134" fillId="0" borderId="87"/>
    <xf numFmtId="169" fontId="135" fillId="0" borderId="88"/>
    <xf numFmtId="169" fontId="135" fillId="0" borderId="88"/>
    <xf numFmtId="169" fontId="136" fillId="0" borderId="88" applyProtection="0"/>
    <xf numFmtId="169" fontId="134" fillId="0" borderId="87"/>
    <xf numFmtId="169" fontId="137" fillId="0" borderId="87" applyProtection="0"/>
    <xf numFmtId="0" fontId="138" fillId="0" borderId="0"/>
    <xf numFmtId="0" fontId="139" fillId="0" borderId="0"/>
    <xf numFmtId="0" fontId="139" fillId="0" borderId="0" applyNumberFormat="0" applyBorder="0" applyProtection="0"/>
    <xf numFmtId="0" fontId="92" fillId="100" borderId="0"/>
    <xf numFmtId="0" fontId="93" fillId="100" borderId="0"/>
    <xf numFmtId="0" fontId="93" fillId="100" borderId="0" applyNumberFormat="0" applyBorder="0" applyProtection="0"/>
    <xf numFmtId="0" fontId="92" fillId="77" borderId="0"/>
    <xf numFmtId="0" fontId="93" fillId="77" borderId="0"/>
    <xf numFmtId="0" fontId="93" fillId="77" borderId="0" applyNumberFormat="0" applyBorder="0" applyProtection="0"/>
    <xf numFmtId="0" fontId="92" fillId="122" borderId="0"/>
    <xf numFmtId="0" fontId="93" fillId="122" borderId="0"/>
    <xf numFmtId="0" fontId="93" fillId="122" borderId="0" applyNumberFormat="0" applyBorder="0" applyProtection="0"/>
    <xf numFmtId="0" fontId="92" fillId="96" borderId="0"/>
    <xf numFmtId="0" fontId="93" fillId="96" borderId="0"/>
    <xf numFmtId="0" fontId="93" fillId="96" borderId="0" applyNumberFormat="0" applyBorder="0" applyProtection="0"/>
    <xf numFmtId="0" fontId="92" fillId="95" borderId="0"/>
    <xf numFmtId="0" fontId="93" fillId="95" borderId="0"/>
    <xf numFmtId="0" fontId="93" fillId="95" borderId="0" applyNumberFormat="0" applyBorder="0" applyProtection="0"/>
    <xf numFmtId="0" fontId="92" fillId="104" borderId="0"/>
    <xf numFmtId="0" fontId="93" fillId="104" borderId="0"/>
    <xf numFmtId="0" fontId="93" fillId="104" borderId="0" applyNumberFormat="0" applyBorder="0" applyProtection="0"/>
    <xf numFmtId="0" fontId="140" fillId="95" borderId="83">
      <alignment horizontal="center" vertical="top" wrapText="1"/>
    </xf>
    <xf numFmtId="0" fontId="141" fillId="0" borderId="0"/>
    <xf numFmtId="0" fontId="141" fillId="0" borderId="0"/>
    <xf numFmtId="0" fontId="141" fillId="0" borderId="0"/>
    <xf numFmtId="0" fontId="142" fillId="0" borderId="0" applyNumberFormat="0" applyBorder="0" applyProtection="0"/>
    <xf numFmtId="0" fontId="141" fillId="0" borderId="0"/>
    <xf numFmtId="0" fontId="142" fillId="0" borderId="0" applyNumberFormat="0" applyBorder="0" applyProtection="0"/>
    <xf numFmtId="0" fontId="143" fillId="0" borderId="0"/>
    <xf numFmtId="0" fontId="143" fillId="0" borderId="0"/>
    <xf numFmtId="0" fontId="143" fillId="0" borderId="0"/>
    <xf numFmtId="0" fontId="144" fillId="0" borderId="0" applyNumberFormat="0" applyBorder="0" applyProtection="0"/>
    <xf numFmtId="0" fontId="143" fillId="0" borderId="0"/>
    <xf numFmtId="0" fontId="144" fillId="0" borderId="0" applyNumberFormat="0" applyBorder="0" applyProtection="0"/>
    <xf numFmtId="0" fontId="145" fillId="0" borderId="0">
      <alignment horizontal="left" vertical="top"/>
    </xf>
    <xf numFmtId="0" fontId="146" fillId="80" borderId="64"/>
    <xf numFmtId="0" fontId="147" fillId="80" borderId="64"/>
    <xf numFmtId="0" fontId="147" fillId="80" borderId="64" applyNumberFormat="0" applyProtection="0"/>
    <xf numFmtId="0" fontId="148" fillId="79" borderId="64"/>
    <xf numFmtId="0" fontId="148" fillId="79" borderId="64"/>
    <xf numFmtId="0" fontId="149" fillId="79" borderId="64" applyNumberFormat="0" applyProtection="0"/>
    <xf numFmtId="175" fontId="78" fillId="0" borderId="0"/>
    <xf numFmtId="176" fontId="86" fillId="0" borderId="0"/>
    <xf numFmtId="176" fontId="87" fillId="0" borderId="0"/>
    <xf numFmtId="197" fontId="71" fillId="0" borderId="0" applyFont="0" applyBorder="0" applyProtection="0"/>
    <xf numFmtId="197" fontId="71" fillId="0" borderId="0" applyFont="0" applyBorder="0" applyProtection="0"/>
    <xf numFmtId="197" fontId="71" fillId="0" borderId="0" applyFont="0" applyBorder="0" applyProtection="0"/>
    <xf numFmtId="197" fontId="71" fillId="0" borderId="0" applyFont="0" applyBorder="0" applyProtection="0"/>
    <xf numFmtId="197" fontId="71" fillId="0" borderId="0" applyFont="0" applyBorder="0" applyProtection="0"/>
    <xf numFmtId="197" fontId="71" fillId="0" borderId="0" applyFont="0" applyBorder="0" applyProtection="0"/>
    <xf numFmtId="175" fontId="78" fillId="0" borderId="0"/>
    <xf numFmtId="175" fontId="79" fillId="0" borderId="0" applyBorder="0" applyProtection="0"/>
    <xf numFmtId="175" fontId="78" fillId="0" borderId="0"/>
    <xf numFmtId="175" fontId="78" fillId="0" borderId="0"/>
    <xf numFmtId="175" fontId="78" fillId="0" borderId="0"/>
    <xf numFmtId="175" fontId="79" fillId="0" borderId="0" applyBorder="0" applyProtection="0"/>
    <xf numFmtId="177" fontId="78" fillId="0" borderId="0"/>
    <xf numFmtId="177" fontId="78" fillId="0" borderId="0"/>
    <xf numFmtId="177" fontId="79" fillId="0" borderId="0" applyBorder="0" applyProtection="0"/>
    <xf numFmtId="178" fontId="78" fillId="0" borderId="0"/>
    <xf numFmtId="178" fontId="78" fillId="0" borderId="0"/>
    <xf numFmtId="198" fontId="79" fillId="0" borderId="0" applyBorder="0" applyProtection="0"/>
    <xf numFmtId="175" fontId="78" fillId="0" borderId="0"/>
    <xf numFmtId="175" fontId="79" fillId="0" borderId="0" applyBorder="0" applyProtection="0"/>
    <xf numFmtId="175" fontId="78" fillId="0" borderId="0"/>
    <xf numFmtId="175" fontId="78" fillId="0" borderId="0"/>
    <xf numFmtId="178" fontId="78" fillId="0" borderId="0"/>
    <xf numFmtId="178" fontId="78" fillId="0" borderId="0"/>
    <xf numFmtId="198" fontId="79" fillId="0" borderId="0" applyBorder="0" applyProtection="0"/>
    <xf numFmtId="175" fontId="78" fillId="0" borderId="0"/>
    <xf numFmtId="175" fontId="79" fillId="0" borderId="0" applyBorder="0" applyProtection="0"/>
    <xf numFmtId="175" fontId="78" fillId="0" borderId="0"/>
    <xf numFmtId="175" fontId="78" fillId="0" borderId="0"/>
    <xf numFmtId="175" fontId="78" fillId="0" borderId="0"/>
    <xf numFmtId="175" fontId="79" fillId="0" borderId="0" applyBorder="0" applyProtection="0"/>
    <xf numFmtId="177" fontId="78" fillId="0" borderId="0"/>
    <xf numFmtId="177" fontId="78" fillId="0" borderId="0"/>
    <xf numFmtId="177" fontId="79" fillId="0" borderId="0" applyBorder="0" applyProtection="0"/>
    <xf numFmtId="175" fontId="78" fillId="0" borderId="0"/>
    <xf numFmtId="175" fontId="79" fillId="0" borderId="0" applyBorder="0" applyProtection="0"/>
    <xf numFmtId="175" fontId="78" fillId="0" borderId="0"/>
    <xf numFmtId="175" fontId="78" fillId="0" borderId="0"/>
    <xf numFmtId="175" fontId="78" fillId="0" borderId="0"/>
    <xf numFmtId="175" fontId="79" fillId="0" borderId="0" applyBorder="0" applyProtection="0"/>
    <xf numFmtId="179" fontId="78" fillId="0" borderId="0"/>
    <xf numFmtId="179" fontId="78" fillId="0" borderId="0"/>
    <xf numFmtId="199" fontId="79" fillId="0" borderId="0" applyBorder="0" applyProtection="0"/>
    <xf numFmtId="176" fontId="80" fillId="0" borderId="0"/>
    <xf numFmtId="176" fontId="81" fillId="0" borderId="0"/>
    <xf numFmtId="197" fontId="81" fillId="0" borderId="0" applyBorder="0" applyProtection="0"/>
    <xf numFmtId="176" fontId="86" fillId="0" borderId="0"/>
    <xf numFmtId="176" fontId="87" fillId="0" borderId="0"/>
    <xf numFmtId="197" fontId="71" fillId="0" borderId="0" applyFont="0" applyBorder="0" applyProtection="0"/>
    <xf numFmtId="197" fontId="71" fillId="0" borderId="0" applyFont="0" applyBorder="0" applyProtection="0"/>
    <xf numFmtId="197" fontId="71" fillId="0" borderId="0" applyFont="0" applyBorder="0" applyProtection="0"/>
    <xf numFmtId="197" fontId="71" fillId="0" borderId="0" applyFont="0" applyBorder="0" applyProtection="0"/>
    <xf numFmtId="197" fontId="71" fillId="0" borderId="0" applyFont="0" applyBorder="0" applyProtection="0"/>
    <xf numFmtId="197" fontId="71" fillId="0" borderId="0" applyFont="0" applyBorder="0" applyProtection="0"/>
    <xf numFmtId="176" fontId="86" fillId="0" borderId="0"/>
    <xf numFmtId="176" fontId="87" fillId="0" borderId="0"/>
    <xf numFmtId="197" fontId="71" fillId="0" borderId="0" applyFont="0" applyBorder="0" applyProtection="0"/>
    <xf numFmtId="197" fontId="71" fillId="0" borderId="0" applyFont="0" applyBorder="0" applyProtection="0"/>
    <xf numFmtId="197" fontId="71" fillId="0" borderId="0" applyFont="0" applyBorder="0" applyProtection="0"/>
    <xf numFmtId="197" fontId="71" fillId="0" borderId="0" applyFont="0" applyBorder="0" applyProtection="0"/>
    <xf numFmtId="197" fontId="71" fillId="0" borderId="0" applyFont="0" applyBorder="0" applyProtection="0"/>
    <xf numFmtId="197" fontId="71" fillId="0" borderId="0" applyFont="0" applyBorder="0" applyProtection="0"/>
    <xf numFmtId="179" fontId="78" fillId="0" borderId="0"/>
    <xf numFmtId="0" fontId="87" fillId="0" borderId="0"/>
    <xf numFmtId="0" fontId="69" fillId="0" borderId="0"/>
    <xf numFmtId="0" fontId="69" fillId="0" borderId="0" applyNumberFormat="0" applyBorder="0" applyProtection="0"/>
    <xf numFmtId="0" fontId="87" fillId="0" borderId="0" applyNumberFormat="0" applyBorder="0" applyProtection="0"/>
    <xf numFmtId="9" fontId="87" fillId="0" borderId="0" applyBorder="0" applyProtection="0"/>
    <xf numFmtId="0" fontId="78" fillId="0" borderId="0"/>
    <xf numFmtId="0" fontId="78" fillId="0" borderId="0"/>
    <xf numFmtId="0" fontId="79" fillId="0" borderId="0" applyNumberFormat="0" applyBorder="0" applyProtection="0"/>
    <xf numFmtId="0" fontId="146" fillId="122" borderId="0"/>
    <xf numFmtId="0" fontId="150" fillId="0" borderId="0"/>
    <xf numFmtId="0" fontId="151" fillId="0" borderId="0"/>
    <xf numFmtId="0" fontId="151" fillId="0" borderId="0" applyNumberFormat="0" applyBorder="0" applyProtection="0"/>
    <xf numFmtId="2" fontId="80" fillId="0" borderId="0"/>
    <xf numFmtId="2" fontId="81" fillId="0" borderId="0"/>
    <xf numFmtId="2" fontId="81" fillId="0" borderId="0" applyBorder="0" applyProtection="0"/>
    <xf numFmtId="169" fontId="78" fillId="0" borderId="0"/>
    <xf numFmtId="169" fontId="78" fillId="0" borderId="0"/>
    <xf numFmtId="169" fontId="78" fillId="0" borderId="0"/>
    <xf numFmtId="169" fontId="79" fillId="0" borderId="0" applyBorder="0" applyProtection="0"/>
    <xf numFmtId="169" fontId="78" fillId="0" borderId="0"/>
    <xf numFmtId="169" fontId="79" fillId="0" borderId="0" applyBorder="0" applyProtection="0"/>
    <xf numFmtId="3" fontId="78" fillId="0" borderId="0"/>
    <xf numFmtId="3" fontId="78" fillId="0" borderId="0"/>
    <xf numFmtId="3" fontId="78" fillId="0" borderId="0"/>
    <xf numFmtId="3" fontId="79" fillId="0" borderId="0" applyBorder="0" applyProtection="0"/>
    <xf numFmtId="3" fontId="78" fillId="0" borderId="0"/>
    <xf numFmtId="3" fontId="79" fillId="0" borderId="0" applyBorder="0" applyProtection="0"/>
    <xf numFmtId="0" fontId="102" fillId="75" borderId="0"/>
    <xf numFmtId="0" fontId="103" fillId="75" borderId="0"/>
    <xf numFmtId="0" fontId="103" fillId="75" borderId="0" applyNumberFormat="0" applyBorder="0" applyProtection="0"/>
    <xf numFmtId="0" fontId="152" fillId="0" borderId="0">
      <alignment horizontal="center"/>
    </xf>
    <xf numFmtId="0" fontId="153" fillId="0" borderId="0">
      <alignment horizontal="center"/>
    </xf>
    <xf numFmtId="0" fontId="153" fillId="0" borderId="0">
      <alignment horizontal="center"/>
    </xf>
    <xf numFmtId="0" fontId="153" fillId="0" borderId="0" applyNumberFormat="0" applyBorder="0" applyProtection="0">
      <alignment horizontal="center"/>
    </xf>
    <xf numFmtId="0" fontId="154" fillId="0" borderId="89"/>
    <xf numFmtId="0" fontId="155" fillId="0" borderId="89"/>
    <xf numFmtId="0" fontId="155" fillId="0" borderId="89" applyNumberFormat="0" applyProtection="0"/>
    <xf numFmtId="0" fontId="156" fillId="0" borderId="90"/>
    <xf numFmtId="0" fontId="157" fillId="0" borderId="90"/>
    <xf numFmtId="0" fontId="157" fillId="0" borderId="90" applyNumberFormat="0" applyProtection="0"/>
    <xf numFmtId="0" fontId="138" fillId="0" borderId="91"/>
    <xf numFmtId="0" fontId="139" fillId="0" borderId="91"/>
    <xf numFmtId="0" fontId="139" fillId="0" borderId="91" applyNumberFormat="0" applyProtection="0"/>
    <xf numFmtId="0" fontId="138" fillId="0" borderId="0"/>
    <xf numFmtId="0" fontId="139" fillId="0" borderId="0"/>
    <xf numFmtId="0" fontId="139" fillId="0" borderId="0" applyNumberFormat="0" applyBorder="0" applyProtection="0"/>
    <xf numFmtId="0" fontId="158" fillId="0" borderId="0">
      <alignment horizontal="center"/>
    </xf>
    <xf numFmtId="0" fontId="158" fillId="0" borderId="0">
      <alignment horizontal="center"/>
    </xf>
    <xf numFmtId="0" fontId="158" fillId="0" borderId="0" applyNumberFormat="0" applyBorder="0" applyProtection="0">
      <alignment horizontal="center"/>
    </xf>
    <xf numFmtId="0" fontId="153" fillId="0" borderId="0" applyNumberFormat="0" applyBorder="0" applyProtection="0">
      <alignment horizontal="center"/>
    </xf>
    <xf numFmtId="0" fontId="152" fillId="0" borderId="0">
      <alignment horizontal="center" textRotation="90"/>
    </xf>
    <xf numFmtId="0" fontId="153" fillId="0" borderId="0">
      <alignment horizontal="center" textRotation="90"/>
    </xf>
    <xf numFmtId="0" fontId="153" fillId="0" borderId="0">
      <alignment horizontal="center" textRotation="90"/>
    </xf>
    <xf numFmtId="0" fontId="153" fillId="0" borderId="0" applyNumberFormat="0" applyBorder="0" applyProtection="0">
      <alignment horizontal="center" textRotation="90"/>
    </xf>
    <xf numFmtId="0" fontId="158" fillId="0" borderId="0">
      <alignment horizontal="center" textRotation="90"/>
    </xf>
    <xf numFmtId="0" fontId="158" fillId="0" borderId="0">
      <alignment horizontal="center" textRotation="90"/>
    </xf>
    <xf numFmtId="0" fontId="158" fillId="0" borderId="0" applyNumberFormat="0" applyBorder="0" applyProtection="0">
      <alignment horizontal="center" textRotation="90"/>
    </xf>
    <xf numFmtId="0" fontId="153" fillId="0" borderId="0" applyNumberFormat="0" applyBorder="0" applyProtection="0">
      <alignment horizontal="center" textRotation="90"/>
    </xf>
    <xf numFmtId="0" fontId="73" fillId="0" borderId="0" applyNumberFormat="0" applyFill="0" applyBorder="0" applyAlignment="0" applyProtection="0">
      <alignment vertical="top"/>
      <protection locked="0"/>
    </xf>
    <xf numFmtId="0" fontId="96" fillId="88" borderId="0"/>
    <xf numFmtId="0" fontId="97" fillId="88" borderId="0"/>
    <xf numFmtId="0" fontId="97" fillId="88" borderId="0" applyNumberFormat="0" applyBorder="0" applyProtection="0"/>
    <xf numFmtId="0" fontId="146" fillId="80" borderId="64"/>
    <xf numFmtId="0" fontId="147" fillId="80" borderId="64"/>
    <xf numFmtId="0" fontId="147" fillId="80" borderId="64" applyNumberFormat="0" applyProtection="0"/>
    <xf numFmtId="0" fontId="159" fillId="83" borderId="0"/>
    <xf numFmtId="0" fontId="159" fillId="83" borderId="0"/>
    <xf numFmtId="0" fontId="160" fillId="83" borderId="0" applyNumberFormat="0" applyBorder="0" applyProtection="0"/>
    <xf numFmtId="0" fontId="161" fillId="0" borderId="0"/>
    <xf numFmtId="0" fontId="162" fillId="0" borderId="0"/>
    <xf numFmtId="0" fontId="162" fillId="0" borderId="0"/>
    <xf numFmtId="0" fontId="163" fillId="0" borderId="0" applyNumberFormat="0" applyBorder="0" applyProtection="0"/>
    <xf numFmtId="0" fontId="161" fillId="0" borderId="0"/>
    <xf numFmtId="0" fontId="161" fillId="0" borderId="0"/>
    <xf numFmtId="0" fontId="164" fillId="0" borderId="0" applyNumberFormat="0" applyBorder="0" applyProtection="0"/>
    <xf numFmtId="0" fontId="161" fillId="0" borderId="0"/>
    <xf numFmtId="0" fontId="164" fillId="0" borderId="0" applyNumberFormat="0" applyBorder="0" applyProtection="0"/>
    <xf numFmtId="0" fontId="165" fillId="0" borderId="0"/>
    <xf numFmtId="0" fontId="166" fillId="0" borderId="0"/>
    <xf numFmtId="0" fontId="166" fillId="0" borderId="0" applyNumberFormat="0" applyBorder="0" applyProtection="0"/>
    <xf numFmtId="0" fontId="167" fillId="0" borderId="0" applyBorder="0" applyProtection="0"/>
    <xf numFmtId="0" fontId="80" fillId="82" borderId="0">
      <alignment horizontal="right"/>
      <protection locked="0"/>
    </xf>
    <xf numFmtId="0" fontId="78" fillId="82" borderId="0">
      <alignment horizontal="right"/>
      <protection locked="0"/>
    </xf>
    <xf numFmtId="0" fontId="78" fillId="82" borderId="0">
      <alignment horizontal="right"/>
      <protection locked="0"/>
    </xf>
    <xf numFmtId="0" fontId="79" fillId="82" borderId="0" applyNumberFormat="0" applyBorder="0">
      <alignment horizontal="right"/>
      <protection locked="0"/>
    </xf>
    <xf numFmtId="0" fontId="78" fillId="82" borderId="0">
      <alignment horizontal="right"/>
      <protection locked="0"/>
    </xf>
    <xf numFmtId="0" fontId="78" fillId="82" borderId="0">
      <alignment horizontal="right"/>
      <protection locked="0"/>
    </xf>
    <xf numFmtId="0" fontId="79" fillId="82" borderId="0" applyNumberFormat="0" applyBorder="0">
      <alignment horizontal="right"/>
      <protection locked="0"/>
    </xf>
    <xf numFmtId="0" fontId="78" fillId="82" borderId="0">
      <alignment horizontal="right"/>
      <protection locked="0"/>
    </xf>
    <xf numFmtId="0" fontId="78" fillId="82" borderId="0">
      <alignment horizontal="right"/>
      <protection locked="0"/>
    </xf>
    <xf numFmtId="0" fontId="79" fillId="82" borderId="0" applyNumberFormat="0" applyBorder="0">
      <alignment horizontal="right"/>
      <protection locked="0"/>
    </xf>
    <xf numFmtId="0" fontId="81" fillId="82" borderId="0">
      <alignment horizontal="right"/>
      <protection locked="0"/>
    </xf>
    <xf numFmtId="0" fontId="81" fillId="82" borderId="0" applyNumberFormat="0" applyBorder="0">
      <alignment horizontal="right"/>
      <protection locked="0"/>
    </xf>
    <xf numFmtId="0" fontId="168" fillId="0" borderId="0"/>
    <xf numFmtId="0" fontId="109" fillId="0" borderId="60"/>
    <xf numFmtId="0" fontId="110" fillId="0" borderId="60"/>
    <xf numFmtId="0" fontId="110" fillId="0" borderId="66" applyNumberFormat="0" applyProtection="0"/>
    <xf numFmtId="0" fontId="169" fillId="82" borderId="0">
      <alignment horizontal="right"/>
      <protection locked="0"/>
    </xf>
    <xf numFmtId="0" fontId="169" fillId="82" borderId="0">
      <alignment horizontal="right"/>
      <protection locked="0"/>
    </xf>
    <xf numFmtId="0" fontId="169" fillId="82" borderId="0">
      <alignment horizontal="right"/>
      <protection locked="0"/>
    </xf>
    <xf numFmtId="0" fontId="170" fillId="82" borderId="0" applyNumberFormat="0" applyBorder="0">
      <alignment horizontal="right"/>
      <protection locked="0"/>
    </xf>
    <xf numFmtId="0" fontId="169" fillId="82" borderId="0">
      <alignment horizontal="right"/>
      <protection locked="0"/>
    </xf>
    <xf numFmtId="0" fontId="169" fillId="82" borderId="0">
      <alignment horizontal="right"/>
      <protection locked="0"/>
    </xf>
    <xf numFmtId="0" fontId="170" fillId="82" borderId="0" applyNumberFormat="0" applyBorder="0">
      <alignment horizontal="right"/>
      <protection locked="0"/>
    </xf>
    <xf numFmtId="0" fontId="169" fillId="82" borderId="0">
      <alignment horizontal="right"/>
      <protection locked="0"/>
    </xf>
    <xf numFmtId="0" fontId="170" fillId="82" borderId="0" applyNumberFormat="0" applyBorder="0">
      <alignment horizontal="right"/>
      <protection locked="0"/>
    </xf>
    <xf numFmtId="0" fontId="171" fillId="82" borderId="0">
      <alignment horizontal="right"/>
      <protection locked="0"/>
    </xf>
    <xf numFmtId="0" fontId="171" fillId="82" borderId="0">
      <alignment horizontal="right"/>
      <protection locked="0"/>
    </xf>
    <xf numFmtId="0" fontId="171" fillId="82" borderId="0">
      <alignment horizontal="right"/>
      <protection locked="0"/>
    </xf>
    <xf numFmtId="0" fontId="172" fillId="82" borderId="0" applyNumberFormat="0" applyBorder="0">
      <alignment horizontal="right"/>
      <protection locked="0"/>
    </xf>
    <xf numFmtId="0" fontId="171" fillId="82" borderId="0">
      <alignment horizontal="right"/>
      <protection locked="0"/>
    </xf>
    <xf numFmtId="0" fontId="171" fillId="82" borderId="0">
      <alignment horizontal="right"/>
      <protection locked="0"/>
    </xf>
    <xf numFmtId="0" fontId="172" fillId="82" borderId="0" applyNumberFormat="0" applyBorder="0">
      <alignment horizontal="right"/>
      <protection locked="0"/>
    </xf>
    <xf numFmtId="0" fontId="171" fillId="82" borderId="0">
      <alignment horizontal="right"/>
      <protection locked="0"/>
    </xf>
    <xf numFmtId="0" fontId="172" fillId="82" borderId="0" applyNumberFormat="0" applyBorder="0">
      <alignment horizontal="right"/>
      <protection locked="0"/>
    </xf>
    <xf numFmtId="0" fontId="173" fillId="82" borderId="0">
      <alignment horizontal="right"/>
      <protection locked="0"/>
    </xf>
    <xf numFmtId="0" fontId="173" fillId="82" borderId="0">
      <alignment horizontal="right"/>
      <protection locked="0"/>
    </xf>
    <xf numFmtId="0" fontId="173" fillId="82" borderId="0">
      <alignment horizontal="right"/>
      <protection locked="0"/>
    </xf>
    <xf numFmtId="0" fontId="174" fillId="82" borderId="0" applyNumberFormat="0" applyBorder="0">
      <alignment horizontal="right"/>
      <protection locked="0"/>
    </xf>
    <xf numFmtId="0" fontId="173" fillId="82" borderId="0">
      <alignment horizontal="right"/>
      <protection locked="0"/>
    </xf>
    <xf numFmtId="0" fontId="173" fillId="82" borderId="0">
      <alignment horizontal="right"/>
      <protection locked="0"/>
    </xf>
    <xf numFmtId="0" fontId="174" fillId="82" borderId="0" applyNumberFormat="0" applyBorder="0">
      <alignment horizontal="right"/>
      <protection locked="0"/>
    </xf>
    <xf numFmtId="0" fontId="173" fillId="82" borderId="0">
      <alignment horizontal="right"/>
      <protection locked="0"/>
    </xf>
    <xf numFmtId="0" fontId="174" fillId="82" borderId="0" applyNumberFormat="0" applyBorder="0">
      <alignment horizontal="right"/>
      <protection locked="0"/>
    </xf>
    <xf numFmtId="0" fontId="175" fillId="91" borderId="0">
      <alignment horizontal="right" vertical="center"/>
      <protection locked="0"/>
    </xf>
    <xf numFmtId="0" fontId="175" fillId="91" borderId="0">
      <alignment horizontal="right" vertical="center"/>
      <protection locked="0"/>
    </xf>
    <xf numFmtId="0" fontId="175" fillId="91" borderId="0" applyNumberFormat="0" applyBorder="0">
      <alignment horizontal="right" vertical="center"/>
      <protection locked="0"/>
    </xf>
    <xf numFmtId="0" fontId="175" fillId="82" borderId="0">
      <alignment horizontal="right" vertical="center"/>
      <protection locked="0"/>
    </xf>
    <xf numFmtId="0" fontId="175" fillId="82" borderId="0">
      <alignment horizontal="right" vertical="center"/>
      <protection locked="0"/>
    </xf>
    <xf numFmtId="0" fontId="175" fillId="82" borderId="0" applyNumberFormat="0" applyBorder="0">
      <alignment horizontal="right" vertical="center"/>
      <protection locked="0"/>
    </xf>
    <xf numFmtId="43" fontId="71" fillId="0" borderId="0" applyFont="0" applyFill="0" applyBorder="0" applyAlignment="0" applyProtection="0"/>
    <xf numFmtId="181" fontId="176" fillId="0" borderId="0"/>
    <xf numFmtId="181" fontId="176" fillId="0" borderId="0"/>
    <xf numFmtId="181" fontId="176" fillId="0" borderId="0" applyBorder="0" applyProtection="0"/>
    <xf numFmtId="200" fontId="71" fillId="0" borderId="0" applyFont="0" applyFill="0" applyBorder="0" applyAlignment="0" applyProtection="0"/>
    <xf numFmtId="200" fontId="71" fillId="0" borderId="0" applyFont="0" applyFill="0" applyBorder="0" applyAlignment="0" applyProtection="0"/>
    <xf numFmtId="200" fontId="71" fillId="0" borderId="0" applyFont="0" applyFill="0" applyBorder="0" applyAlignment="0" applyProtection="0"/>
    <xf numFmtId="200" fontId="71" fillId="0" borderId="0" applyFont="0" applyFill="0" applyBorder="0" applyAlignment="0" applyProtection="0"/>
    <xf numFmtId="200" fontId="71" fillId="0" borderId="0" applyFont="0" applyFill="0" applyBorder="0" applyAlignment="0" applyProtection="0"/>
    <xf numFmtId="200"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171" fontId="43" fillId="0" borderId="0" applyBorder="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182" fontId="78" fillId="0" borderId="0"/>
    <xf numFmtId="182" fontId="79" fillId="0" borderId="0" applyBorder="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182" fontId="78" fillId="0" borderId="0"/>
    <xf numFmtId="182" fontId="78" fillId="0" borderId="0"/>
    <xf numFmtId="182" fontId="79" fillId="0" borderId="0" applyBorder="0" applyProtection="0"/>
    <xf numFmtId="182" fontId="78" fillId="0" borderId="0"/>
    <xf numFmtId="182" fontId="79" fillId="0" borderId="0" applyBorder="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182" fontId="78" fillId="0" borderId="0"/>
    <xf numFmtId="43" fontId="71" fillId="0" borderId="0" applyFont="0" applyFill="0" applyBorder="0" applyAlignment="0" applyProtection="0"/>
    <xf numFmtId="182" fontId="78" fillId="0" borderId="0"/>
    <xf numFmtId="182" fontId="79" fillId="0" borderId="0" applyBorder="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182" fontId="78" fillId="0" borderId="0"/>
    <xf numFmtId="182" fontId="78" fillId="0" borderId="0"/>
    <xf numFmtId="182" fontId="79" fillId="0" borderId="0" applyBorder="0" applyProtection="0"/>
    <xf numFmtId="182" fontId="78" fillId="0" borderId="0"/>
    <xf numFmtId="182" fontId="78" fillId="0" borderId="0"/>
    <xf numFmtId="182" fontId="79" fillId="0" borderId="0" applyBorder="0" applyProtection="0"/>
    <xf numFmtId="182" fontId="78" fillId="0" borderId="0"/>
    <xf numFmtId="182" fontId="78" fillId="0" borderId="0"/>
    <xf numFmtId="182" fontId="79" fillId="0" borderId="0" applyBorder="0" applyProtection="0"/>
    <xf numFmtId="181" fontId="176" fillId="0" borderId="0"/>
    <xf numFmtId="181" fontId="176" fillId="0" borderId="0"/>
    <xf numFmtId="181" fontId="176" fillId="0" borderId="0" applyBorder="0" applyProtection="0"/>
    <xf numFmtId="181" fontId="176" fillId="0" borderId="0"/>
    <xf numFmtId="181" fontId="176" fillId="0" borderId="0"/>
    <xf numFmtId="181" fontId="176" fillId="0" borderId="0" applyBorder="0" applyProtection="0"/>
    <xf numFmtId="181" fontId="176" fillId="0" borderId="0"/>
    <xf numFmtId="181" fontId="176" fillId="0" borderId="0"/>
    <xf numFmtId="181" fontId="176" fillId="0" borderId="0" applyBorder="0" applyProtection="0"/>
    <xf numFmtId="175" fontId="78" fillId="0" borderId="0"/>
    <xf numFmtId="175" fontId="78" fillId="0" borderId="0"/>
    <xf numFmtId="175" fontId="79" fillId="0" borderId="0" applyBorder="0" applyProtection="0"/>
    <xf numFmtId="175" fontId="78" fillId="0" borderId="0"/>
    <xf numFmtId="175" fontId="78" fillId="0" borderId="0"/>
    <xf numFmtId="175" fontId="79" fillId="0" borderId="0" applyBorder="0" applyProtection="0"/>
    <xf numFmtId="183" fontId="78" fillId="0" borderId="0"/>
    <xf numFmtId="183" fontId="78" fillId="0" borderId="0"/>
    <xf numFmtId="183" fontId="78" fillId="0" borderId="0"/>
    <xf numFmtId="183" fontId="79" fillId="0" borderId="0" applyBorder="0" applyProtection="0"/>
    <xf numFmtId="183" fontId="78" fillId="0" borderId="0"/>
    <xf numFmtId="183" fontId="79" fillId="0" borderId="0" applyBorder="0" applyProtection="0"/>
    <xf numFmtId="0" fontId="177" fillId="82" borderId="0"/>
    <xf numFmtId="0" fontId="178" fillId="91" borderId="0"/>
    <xf numFmtId="0" fontId="179" fillId="91" borderId="0"/>
    <xf numFmtId="0" fontId="179" fillId="91" borderId="0" applyNumberFormat="0" applyBorder="0" applyProtection="0"/>
    <xf numFmtId="0" fontId="178" fillId="91" borderId="0"/>
    <xf numFmtId="0" fontId="179" fillId="91" borderId="0"/>
    <xf numFmtId="0" fontId="179" fillId="91" borderId="0" applyNumberFormat="0" applyBorder="0" applyProtection="0"/>
    <xf numFmtId="0" fontId="180" fillId="91" borderId="0"/>
    <xf numFmtId="0" fontId="180" fillId="91" borderId="0"/>
    <xf numFmtId="0" fontId="181" fillId="91" borderId="0" applyNumberFormat="0" applyBorder="0" applyProtection="0"/>
    <xf numFmtId="0" fontId="177" fillId="82" borderId="0"/>
    <xf numFmtId="0" fontId="177" fillId="82" borderId="0"/>
    <xf numFmtId="184" fontId="182" fillId="0" borderId="0"/>
    <xf numFmtId="184" fontId="182" fillId="0" borderId="0"/>
    <xf numFmtId="184" fontId="183" fillId="0" borderId="0" applyBorder="0" applyProtection="0"/>
    <xf numFmtId="0" fontId="78" fillId="0" borderId="0"/>
    <xf numFmtId="0" fontId="78" fillId="0" borderId="0"/>
    <xf numFmtId="0" fontId="79" fillId="0" borderId="0" applyNumberFormat="0" applyBorder="0" applyProtection="0"/>
    <xf numFmtId="0" fontId="78" fillId="0" borderId="0"/>
    <xf numFmtId="0" fontId="78" fillId="0" borderId="0"/>
    <xf numFmtId="0" fontId="79" fillId="0" borderId="0" applyNumberFormat="0" applyBorder="0" applyProtection="0"/>
    <xf numFmtId="0" fontId="176" fillId="0" borderId="0"/>
    <xf numFmtId="0" fontId="78" fillId="0" borderId="0"/>
    <xf numFmtId="0" fontId="78" fillId="0" borderId="0"/>
    <xf numFmtId="0" fontId="79" fillId="0" borderId="0" applyNumberFormat="0" applyBorder="0" applyProtection="0"/>
    <xf numFmtId="0" fontId="78" fillId="0" borderId="0"/>
    <xf numFmtId="0" fontId="78" fillId="0" borderId="0"/>
    <xf numFmtId="0" fontId="79" fillId="0" borderId="0" applyNumberFormat="0" applyBorder="0" applyProtection="0"/>
    <xf numFmtId="0" fontId="176" fillId="0" borderId="0"/>
    <xf numFmtId="0" fontId="176" fillId="0" borderId="0" applyNumberFormat="0" applyBorder="0" applyProtection="0"/>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8" fillId="0" borderId="0"/>
    <xf numFmtId="0" fontId="78" fillId="0" borderId="0"/>
    <xf numFmtId="0" fontId="79" fillId="0" borderId="0" applyNumberFormat="0" applyBorder="0" applyProtection="0"/>
    <xf numFmtId="0" fontId="74" fillId="0" borderId="0"/>
    <xf numFmtId="0" fontId="78" fillId="0" borderId="0"/>
    <xf numFmtId="0" fontId="79" fillId="0" borderId="0" applyNumberFormat="0" applyBorder="0" applyProtection="0"/>
    <xf numFmtId="0" fontId="85" fillId="0" borderId="0"/>
    <xf numFmtId="0" fontId="75" fillId="0" borderId="0"/>
    <xf numFmtId="0" fontId="78" fillId="0" borderId="0"/>
    <xf numFmtId="0" fontId="78" fillId="0" borderId="0"/>
    <xf numFmtId="0" fontId="79" fillId="0" borderId="0" applyNumberFormat="0" applyBorder="0" applyProtection="0"/>
    <xf numFmtId="0" fontId="85" fillId="0" borderId="0"/>
    <xf numFmtId="0" fontId="84" fillId="0" borderId="0" applyNumberFormat="0" applyBorder="0" applyProtection="0"/>
    <xf numFmtId="0" fontId="78" fillId="0" borderId="0"/>
    <xf numFmtId="0" fontId="78" fillId="0" borderId="0"/>
    <xf numFmtId="0" fontId="79" fillId="0" borderId="0" applyNumberFormat="0" applyBorder="0" applyProtection="0"/>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176" fillId="0" borderId="0"/>
    <xf numFmtId="0" fontId="176" fillId="0" borderId="0" applyNumberFormat="0" applyBorder="0" applyProtection="0"/>
    <xf numFmtId="0" fontId="76" fillId="0" borderId="0"/>
    <xf numFmtId="0" fontId="78" fillId="0" borderId="0"/>
    <xf numFmtId="0" fontId="72" fillId="0" borderId="0"/>
    <xf numFmtId="0" fontId="78" fillId="0" borderId="0"/>
    <xf numFmtId="0" fontId="79" fillId="0" borderId="0" applyNumberFormat="0" applyBorder="0" applyProtection="0"/>
    <xf numFmtId="0" fontId="21" fillId="0" borderId="0"/>
    <xf numFmtId="0" fontId="184" fillId="0" borderId="0"/>
    <xf numFmtId="0" fontId="184" fillId="0" borderId="0" applyNumberFormat="0" applyBorder="0" applyProtection="0"/>
    <xf numFmtId="0" fontId="184" fillId="0" borderId="0"/>
    <xf numFmtId="0" fontId="184" fillId="0" borderId="0"/>
    <xf numFmtId="0" fontId="184" fillId="0" borderId="0" applyNumberFormat="0" applyBorder="0" applyProtection="0"/>
    <xf numFmtId="0" fontId="80" fillId="0" borderId="0"/>
    <xf numFmtId="0" fontId="81" fillId="0" borderId="0"/>
    <xf numFmtId="0" fontId="81" fillId="0" borderId="0" applyNumberFormat="0" applyBorder="0" applyProtection="0"/>
    <xf numFmtId="0" fontId="78" fillId="0" borderId="0"/>
    <xf numFmtId="0" fontId="78" fillId="0" borderId="0"/>
    <xf numFmtId="0" fontId="79" fillId="0" borderId="0" applyNumberFormat="0" applyBorder="0" applyProtection="0"/>
    <xf numFmtId="0" fontId="78" fillId="0" borderId="0"/>
    <xf numFmtId="0" fontId="78" fillId="0" borderId="0"/>
    <xf numFmtId="0" fontId="79" fillId="0" borderId="0" applyNumberFormat="0" applyBorder="0" applyProtection="0"/>
    <xf numFmtId="0" fontId="78" fillId="0" borderId="0"/>
    <xf numFmtId="0" fontId="78" fillId="0" borderId="0"/>
    <xf numFmtId="0" fontId="79" fillId="0" borderId="0" applyNumberFormat="0" applyBorder="0" applyProtection="0"/>
    <xf numFmtId="0" fontId="78" fillId="0" borderId="0"/>
    <xf numFmtId="0" fontId="78" fillId="0" borderId="0"/>
    <xf numFmtId="0" fontId="79" fillId="0" borderId="0" applyNumberFormat="0" applyBorder="0" applyProtection="0"/>
    <xf numFmtId="0" fontId="78" fillId="0" borderId="0"/>
    <xf numFmtId="0" fontId="78" fillId="0" borderId="0"/>
    <xf numFmtId="0" fontId="79" fillId="0" borderId="0" applyNumberFormat="0" applyBorder="0" applyProtection="0"/>
    <xf numFmtId="0" fontId="86"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21" fillId="0" borderId="0"/>
    <xf numFmtId="0" fontId="78" fillId="0" borderId="0">
      <alignment wrapText="1"/>
    </xf>
    <xf numFmtId="0" fontId="78" fillId="0" borderId="0">
      <alignment wrapText="1"/>
    </xf>
    <xf numFmtId="0" fontId="79" fillId="0" borderId="0" applyNumberFormat="0" applyBorder="0" applyProtection="0">
      <alignment wrapText="1"/>
    </xf>
    <xf numFmtId="0" fontId="185" fillId="0" borderId="0"/>
    <xf numFmtId="0" fontId="185" fillId="0" borderId="0"/>
    <xf numFmtId="0" fontId="185" fillId="0" borderId="0" applyNumberFormat="0" applyBorder="0" applyProtection="0"/>
    <xf numFmtId="0" fontId="78" fillId="0" borderId="0"/>
    <xf numFmtId="0" fontId="78" fillId="0" borderId="0"/>
    <xf numFmtId="0" fontId="79" fillId="0" borderId="0" applyNumberFormat="0" applyBorder="0" applyProtection="0"/>
    <xf numFmtId="0" fontId="80" fillId="0" borderId="0"/>
    <xf numFmtId="0" fontId="81" fillId="0" borderId="0"/>
    <xf numFmtId="0" fontId="81" fillId="0" borderId="0" applyNumberFormat="0" applyBorder="0" applyProtection="0"/>
    <xf numFmtId="0" fontId="78" fillId="0" borderId="0">
      <alignment wrapText="1"/>
    </xf>
    <xf numFmtId="0" fontId="79" fillId="0" borderId="0" applyNumberFormat="0" applyBorder="0" applyProtection="0">
      <alignment wrapText="1"/>
    </xf>
    <xf numFmtId="0" fontId="78" fillId="0" borderId="0">
      <alignment wrapText="1"/>
    </xf>
    <xf numFmtId="0" fontId="86" fillId="0" borderId="0"/>
    <xf numFmtId="0" fontId="75" fillId="0" borderId="0"/>
    <xf numFmtId="0" fontId="87" fillId="0" borderId="0"/>
    <xf numFmtId="0" fontId="184" fillId="0" borderId="0"/>
    <xf numFmtId="0" fontId="43" fillId="0" borderId="0"/>
    <xf numFmtId="0" fontId="21" fillId="0" borderId="0"/>
    <xf numFmtId="0" fontId="78" fillId="0" borderId="0"/>
    <xf numFmtId="0" fontId="78" fillId="0" borderId="0"/>
    <xf numFmtId="0" fontId="79" fillId="0" borderId="0" applyNumberFormat="0" applyBorder="0" applyProtection="0"/>
    <xf numFmtId="0" fontId="78" fillId="0" borderId="0">
      <alignment wrapText="1"/>
    </xf>
    <xf numFmtId="0" fontId="78" fillId="0" borderId="0">
      <alignment wrapText="1"/>
    </xf>
    <xf numFmtId="0" fontId="79" fillId="0" borderId="0" applyNumberFormat="0" applyBorder="0" applyProtection="0">
      <alignment wrapText="1"/>
    </xf>
    <xf numFmtId="0" fontId="78" fillId="0" borderId="0"/>
    <xf numFmtId="0" fontId="78" fillId="0" borderId="0"/>
    <xf numFmtId="0" fontId="79" fillId="0" borderId="0" applyNumberFormat="0" applyBorder="0" applyProtection="0"/>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8" fillId="0" borderId="0">
      <alignment wrapText="1"/>
    </xf>
    <xf numFmtId="0" fontId="79" fillId="0" borderId="0" applyNumberFormat="0" applyBorder="0" applyProtection="0">
      <alignment wrapText="1"/>
    </xf>
    <xf numFmtId="0" fontId="21" fillId="0" borderId="0"/>
    <xf numFmtId="0" fontId="78" fillId="0" borderId="0">
      <alignment wrapText="1"/>
    </xf>
    <xf numFmtId="0" fontId="78" fillId="0" borderId="0">
      <alignment wrapText="1"/>
    </xf>
    <xf numFmtId="0" fontId="78" fillId="0" borderId="0">
      <alignment wrapText="1"/>
    </xf>
    <xf numFmtId="0" fontId="78" fillId="0" borderId="0">
      <alignment wrapText="1"/>
    </xf>
    <xf numFmtId="0" fontId="79" fillId="0" borderId="0" applyNumberFormat="0" applyBorder="0" applyProtection="0">
      <alignment wrapText="1"/>
    </xf>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8" fillId="0" borderId="0"/>
    <xf numFmtId="0" fontId="78" fillId="0" borderId="0"/>
    <xf numFmtId="0" fontId="79" fillId="0" borderId="0" applyNumberFormat="0" applyBorder="0" applyProtection="0"/>
    <xf numFmtId="0" fontId="78" fillId="0" borderId="0">
      <alignment wrapText="1"/>
    </xf>
    <xf numFmtId="0" fontId="79" fillId="0" borderId="0" applyNumberFormat="0" applyBorder="0" applyProtection="0">
      <alignment wrapText="1"/>
    </xf>
    <xf numFmtId="0" fontId="78" fillId="0" borderId="0">
      <alignment wrapText="1"/>
    </xf>
    <xf numFmtId="0" fontId="86" fillId="0" borderId="0"/>
    <xf numFmtId="0" fontId="186" fillId="0" borderId="0"/>
    <xf numFmtId="0" fontId="186" fillId="0" borderId="0"/>
    <xf numFmtId="0" fontId="186" fillId="0" borderId="0" applyNumberFormat="0" applyBorder="0" applyProtection="0"/>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86" fillId="0" borderId="0"/>
    <xf numFmtId="0" fontId="78" fillId="0" borderId="0"/>
    <xf numFmtId="0" fontId="78" fillId="0" borderId="0"/>
    <xf numFmtId="0" fontId="79" fillId="0" borderId="0" applyNumberFormat="0" applyBorder="0" applyProtection="0"/>
    <xf numFmtId="0" fontId="78" fillId="0" borderId="0"/>
    <xf numFmtId="0" fontId="78" fillId="0" borderId="0"/>
    <xf numFmtId="0" fontId="79" fillId="0" borderId="0" applyNumberFormat="0" applyBorder="0" applyProtection="0"/>
    <xf numFmtId="0" fontId="86" fillId="0" borderId="0"/>
    <xf numFmtId="0" fontId="87" fillId="0" borderId="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0" fontId="71" fillId="0" borderId="0" applyNumberFormat="0" applyFont="0" applyBorder="0" applyProtection="0"/>
    <xf numFmtId="4" fontId="187" fillId="0" borderId="0">
      <alignment horizontal="right" vertical="center"/>
    </xf>
    <xf numFmtId="4" fontId="188" fillId="0" borderId="0">
      <alignment horizontal="right" vertical="center"/>
    </xf>
    <xf numFmtId="4" fontId="188" fillId="0" borderId="0" applyBorder="0" applyProtection="0">
      <alignment horizontal="right" vertical="center"/>
    </xf>
    <xf numFmtId="0" fontId="21" fillId="0" borderId="0" applyNumberFormat="0" applyFill="0" applyBorder="0" applyAlignment="0" applyProtection="0"/>
    <xf numFmtId="0" fontId="21" fillId="0" borderId="0" applyNumberFormat="0" applyFill="0" applyBorder="0" applyAlignment="0" applyProtection="0"/>
    <xf numFmtId="2" fontId="81" fillId="0" borderId="0"/>
    <xf numFmtId="2" fontId="80" fillId="0" borderId="0"/>
    <xf numFmtId="2" fontId="81" fillId="0" borderId="0" applyBorder="0" applyProtection="0"/>
    <xf numFmtId="0" fontId="78" fillId="84" borderId="86"/>
    <xf numFmtId="0" fontId="78" fillId="84" borderId="86"/>
    <xf numFmtId="0" fontId="79" fillId="84" borderId="86" applyNumberFormat="0" applyProtection="0"/>
    <xf numFmtId="0" fontId="78" fillId="84" borderId="86"/>
    <xf numFmtId="0" fontId="78" fillId="84" borderId="86"/>
    <xf numFmtId="0" fontId="79" fillId="84" borderId="86" applyNumberFormat="0" applyProtection="0"/>
    <xf numFmtId="0" fontId="189" fillId="0" borderId="0">
      <alignment vertical="top"/>
    </xf>
    <xf numFmtId="0" fontId="189" fillId="0" borderId="0">
      <alignment vertical="top"/>
    </xf>
    <xf numFmtId="0" fontId="190" fillId="0" borderId="0" applyNumberFormat="0" applyBorder="0" applyProtection="0">
      <alignment vertical="top"/>
    </xf>
    <xf numFmtId="0" fontId="78" fillId="84" borderId="86"/>
    <xf numFmtId="0" fontId="78" fillId="84" borderId="86"/>
    <xf numFmtId="0" fontId="79" fillId="84" borderId="86" applyNumberFormat="0" applyProtection="0"/>
    <xf numFmtId="0" fontId="189" fillId="0" borderId="0">
      <alignment vertical="top"/>
    </xf>
    <xf numFmtId="0" fontId="189" fillId="0" borderId="0">
      <alignment vertical="top"/>
    </xf>
    <xf numFmtId="0" fontId="190" fillId="0" borderId="0" applyNumberFormat="0" applyBorder="0" applyProtection="0">
      <alignment vertical="top"/>
    </xf>
    <xf numFmtId="185" fontId="191" fillId="0" borderId="0">
      <alignment horizontal="right"/>
    </xf>
    <xf numFmtId="0" fontId="177" fillId="82" borderId="0"/>
    <xf numFmtId="0" fontId="192" fillId="78" borderId="92"/>
    <xf numFmtId="0" fontId="193" fillId="78" borderId="92"/>
    <xf numFmtId="0" fontId="193" fillId="78" borderId="92" applyNumberFormat="0" applyProtection="0"/>
    <xf numFmtId="9" fontId="21" fillId="0" borderId="0" applyFont="0" applyFill="0" applyBorder="0" applyAlignment="0" applyProtection="0"/>
    <xf numFmtId="9" fontId="71" fillId="0" borderId="0" applyFont="0" applyFill="0" applyBorder="0" applyAlignment="0" applyProtection="0"/>
    <xf numFmtId="180" fontId="80" fillId="0" borderId="0"/>
    <xf numFmtId="180" fontId="81" fillId="0" borderId="0"/>
    <xf numFmtId="180" fontId="81" fillId="0" borderId="0" applyBorder="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207" fontId="43" fillId="0" borderId="0" applyBorder="0" applyProtection="0"/>
    <xf numFmtId="9" fontId="71" fillId="0" borderId="0" applyFont="0" applyFill="0" applyBorder="0" applyAlignment="0" applyProtection="0"/>
    <xf numFmtId="180" fontId="78" fillId="0" borderId="0"/>
    <xf numFmtId="180" fontId="86" fillId="0" borderId="0"/>
    <xf numFmtId="180" fontId="87" fillId="0" borderId="0"/>
    <xf numFmtId="180" fontId="71" fillId="0" borderId="0" applyFont="0" applyBorder="0" applyProtection="0"/>
    <xf numFmtId="180" fontId="71" fillId="0" borderId="0" applyFont="0" applyBorder="0" applyProtection="0"/>
    <xf numFmtId="180" fontId="71" fillId="0" borderId="0" applyFont="0" applyBorder="0" applyProtection="0"/>
    <xf numFmtId="180" fontId="71" fillId="0" borderId="0" applyFont="0" applyBorder="0" applyProtection="0"/>
    <xf numFmtId="180" fontId="71" fillId="0" borderId="0" applyFont="0" applyBorder="0" applyProtection="0"/>
    <xf numFmtId="180" fontId="71" fillId="0" borderId="0" applyFont="0" applyBorder="0" applyProtection="0"/>
    <xf numFmtId="180" fontId="78" fillId="0" borderId="0"/>
    <xf numFmtId="180" fontId="79" fillId="0" borderId="0" applyBorder="0" applyProtection="0"/>
    <xf numFmtId="9" fontId="75" fillId="0" borderId="0" applyFont="0" applyFill="0" applyBorder="0" applyAlignment="0" applyProtection="0"/>
    <xf numFmtId="180" fontId="78" fillId="0" borderId="0"/>
    <xf numFmtId="180" fontId="78" fillId="0" borderId="0"/>
    <xf numFmtId="180" fontId="79" fillId="0" borderId="0" applyBorder="0" applyProtection="0"/>
    <xf numFmtId="180" fontId="86" fillId="0" borderId="0"/>
    <xf numFmtId="180" fontId="78" fillId="0" borderId="0"/>
    <xf numFmtId="180" fontId="78" fillId="0" borderId="0"/>
    <xf numFmtId="180" fontId="79" fillId="0" borderId="0" applyBorder="0" applyProtection="0"/>
    <xf numFmtId="180" fontId="87" fillId="0" borderId="0"/>
    <xf numFmtId="180" fontId="71" fillId="0" borderId="0" applyFont="0" applyBorder="0" applyProtection="0"/>
    <xf numFmtId="180" fontId="71" fillId="0" borderId="0" applyFont="0" applyBorder="0" applyProtection="0"/>
    <xf numFmtId="180" fontId="71" fillId="0" borderId="0" applyFont="0" applyBorder="0" applyProtection="0"/>
    <xf numFmtId="180" fontId="71" fillId="0" borderId="0" applyFont="0" applyBorder="0" applyProtection="0"/>
    <xf numFmtId="180" fontId="71" fillId="0" borderId="0" applyFont="0" applyBorder="0" applyProtection="0"/>
    <xf numFmtId="180" fontId="71" fillId="0" borderId="0" applyFont="0" applyBorder="0" applyProtection="0"/>
    <xf numFmtId="180" fontId="78" fillId="0" borderId="0"/>
    <xf numFmtId="180" fontId="78" fillId="0" borderId="0"/>
    <xf numFmtId="180" fontId="79" fillId="0" borderId="0" applyBorder="0" applyProtection="0"/>
    <xf numFmtId="180" fontId="78" fillId="0" borderId="0"/>
    <xf numFmtId="180" fontId="78" fillId="0" borderId="0"/>
    <xf numFmtId="180" fontId="79" fillId="0" borderId="0" applyBorder="0" applyProtection="0"/>
    <xf numFmtId="180" fontId="78" fillId="0" borderId="0"/>
    <xf numFmtId="180" fontId="78" fillId="0" borderId="0"/>
    <xf numFmtId="180" fontId="79" fillId="0" borderId="0" applyBorder="0" applyProtection="0"/>
    <xf numFmtId="180" fontId="78" fillId="0" borderId="0"/>
    <xf numFmtId="180" fontId="78" fillId="0" borderId="0"/>
    <xf numFmtId="180" fontId="79" fillId="0" borderId="0" applyBorder="0" applyProtection="0"/>
    <xf numFmtId="180" fontId="78" fillId="0" borderId="0"/>
    <xf numFmtId="180" fontId="78" fillId="0" borderId="0"/>
    <xf numFmtId="180" fontId="79" fillId="0" borderId="0" applyBorder="0" applyProtection="0"/>
    <xf numFmtId="0" fontId="78" fillId="84" borderId="86"/>
    <xf numFmtId="0" fontId="80" fillId="108" borderId="86"/>
    <xf numFmtId="0" fontId="81" fillId="108" borderId="86"/>
    <xf numFmtId="0" fontId="81" fillId="108" borderId="86" applyNumberFormat="0" applyProtection="0"/>
    <xf numFmtId="0" fontId="78" fillId="84" borderId="86"/>
    <xf numFmtId="0" fontId="79" fillId="84" borderId="86" applyNumberFormat="0" applyProtection="0"/>
    <xf numFmtId="0" fontId="194" fillId="0" borderId="0"/>
    <xf numFmtId="0" fontId="195" fillId="0" borderId="0"/>
    <xf numFmtId="0" fontId="195" fillId="0" borderId="0"/>
    <xf numFmtId="0" fontId="195" fillId="0" borderId="0" applyNumberFormat="0" applyBorder="0" applyProtection="0"/>
    <xf numFmtId="0" fontId="196" fillId="0" borderId="0"/>
    <xf numFmtId="0" fontId="196" fillId="0" borderId="0"/>
    <xf numFmtId="0" fontId="196" fillId="0" borderId="0" applyNumberFormat="0" applyBorder="0" applyProtection="0"/>
    <xf numFmtId="0" fontId="195" fillId="0" borderId="0" applyNumberFormat="0" applyBorder="0" applyProtection="0"/>
    <xf numFmtId="186" fontId="194" fillId="0" borderId="0"/>
    <xf numFmtId="186" fontId="195" fillId="0" borderId="0"/>
    <xf numFmtId="186" fontId="195" fillId="0" borderId="0"/>
    <xf numFmtId="186" fontId="195" fillId="0" borderId="0" applyBorder="0" applyProtection="0"/>
    <xf numFmtId="186" fontId="196" fillId="0" borderId="0"/>
    <xf numFmtId="186" fontId="196" fillId="0" borderId="0"/>
    <xf numFmtId="186" fontId="196" fillId="0" borderId="0" applyBorder="0" applyProtection="0"/>
    <xf numFmtId="186" fontId="195" fillId="0" borderId="0" applyBorder="0" applyProtection="0"/>
    <xf numFmtId="0" fontId="192" fillId="78" borderId="92"/>
    <xf numFmtId="0" fontId="193" fillId="78" borderId="92"/>
    <xf numFmtId="0" fontId="193" fillId="78" borderId="92" applyNumberFormat="0" applyProtection="0"/>
    <xf numFmtId="0" fontId="197" fillId="75" borderId="0"/>
    <xf numFmtId="0" fontId="197" fillId="75" borderId="0"/>
    <xf numFmtId="0" fontId="198" fillId="75" borderId="0" applyNumberFormat="0" applyBorder="0" applyProtection="0"/>
    <xf numFmtId="0" fontId="199" fillId="78" borderId="93"/>
    <xf numFmtId="0" fontId="199" fillId="78" borderId="93"/>
    <xf numFmtId="0" fontId="200" fillId="78" borderId="93" applyNumberFormat="0" applyProtection="0"/>
    <xf numFmtId="0" fontId="201" fillId="0" borderId="0">
      <alignment vertical="top" wrapText="1"/>
    </xf>
    <xf numFmtId="0" fontId="201" fillId="0" borderId="0">
      <alignment vertical="top" wrapText="1"/>
    </xf>
    <xf numFmtId="0" fontId="202" fillId="0" borderId="0" applyNumberFormat="0" applyBorder="0" applyProtection="0">
      <alignment vertical="top" wrapText="1"/>
    </xf>
    <xf numFmtId="0" fontId="78" fillId="0" borderId="0">
      <alignment horizontal="left"/>
    </xf>
    <xf numFmtId="0" fontId="78" fillId="0" borderId="0">
      <alignment horizontal="left"/>
    </xf>
    <xf numFmtId="0" fontId="79" fillId="0" borderId="0" applyNumberFormat="0" applyBorder="0" applyProtection="0">
      <alignment horizontal="left"/>
    </xf>
    <xf numFmtId="0" fontId="78" fillId="0" borderId="0"/>
    <xf numFmtId="0" fontId="78" fillId="0" borderId="0"/>
    <xf numFmtId="0" fontId="79" fillId="0" borderId="0" applyNumberFormat="0" applyBorder="0" applyProtection="0"/>
    <xf numFmtId="0" fontId="78" fillId="0" borderId="0"/>
    <xf numFmtId="0" fontId="78" fillId="0" borderId="0"/>
    <xf numFmtId="0" fontId="79" fillId="0" borderId="0" applyNumberFormat="0" applyBorder="0" applyProtection="0"/>
    <xf numFmtId="0" fontId="140" fillId="0" borderId="0"/>
    <xf numFmtId="0" fontId="140" fillId="0" borderId="0"/>
    <xf numFmtId="0" fontId="203" fillId="0" borderId="0" applyNumberFormat="0" applyBorder="0" applyProtection="0"/>
    <xf numFmtId="0" fontId="140" fillId="0" borderId="0">
      <alignment horizontal="left"/>
    </xf>
    <xf numFmtId="0" fontId="140" fillId="0" borderId="0">
      <alignment horizontal="left"/>
    </xf>
    <xf numFmtId="0" fontId="203" fillId="0" borderId="0" applyNumberFormat="0" applyBorder="0" applyProtection="0">
      <alignment horizontal="left"/>
    </xf>
    <xf numFmtId="0" fontId="78" fillId="0" borderId="0"/>
    <xf numFmtId="0" fontId="78" fillId="0" borderId="0"/>
    <xf numFmtId="0" fontId="79" fillId="0" borderId="0" applyNumberFormat="0" applyBorder="0" applyProtection="0"/>
    <xf numFmtId="169" fontId="204" fillId="105" borderId="94">
      <alignment vertical="center"/>
    </xf>
    <xf numFmtId="169" fontId="204" fillId="104" borderId="94">
      <alignment vertical="center"/>
    </xf>
    <xf numFmtId="169" fontId="204" fillId="96" borderId="94">
      <alignment vertical="center"/>
    </xf>
    <xf numFmtId="169" fontId="204" fillId="96" borderId="94">
      <alignment vertical="center"/>
    </xf>
    <xf numFmtId="169" fontId="204" fillId="96" borderId="94" applyProtection="0">
      <alignment vertical="center"/>
    </xf>
    <xf numFmtId="169" fontId="204" fillId="104" borderId="94">
      <alignment vertical="center"/>
    </xf>
    <xf numFmtId="169" fontId="204" fillId="104" borderId="94" applyProtection="0">
      <alignment vertical="center"/>
    </xf>
    <xf numFmtId="169" fontId="204" fillId="105" borderId="94">
      <alignment vertical="center"/>
    </xf>
    <xf numFmtId="169" fontId="204" fillId="105" borderId="94">
      <alignment vertical="center"/>
    </xf>
    <xf numFmtId="169" fontId="204" fillId="105" borderId="94" applyProtection="0">
      <alignment vertical="center"/>
    </xf>
    <xf numFmtId="169" fontId="204" fillId="105" borderId="94">
      <alignment vertical="center"/>
    </xf>
    <xf numFmtId="169" fontId="204" fillId="105" borderId="94">
      <alignment vertical="center"/>
    </xf>
    <xf numFmtId="169" fontId="204" fillId="105" borderId="94" applyProtection="0">
      <alignment vertical="center"/>
    </xf>
    <xf numFmtId="169" fontId="204" fillId="105" borderId="94">
      <alignment vertical="center"/>
    </xf>
    <xf numFmtId="169" fontId="204" fillId="105" borderId="94">
      <alignment vertical="center"/>
    </xf>
    <xf numFmtId="169" fontId="204" fillId="105" borderId="94" applyProtection="0">
      <alignment vertical="center"/>
    </xf>
    <xf numFmtId="169" fontId="204" fillId="105" borderId="94">
      <alignment vertical="center"/>
    </xf>
    <xf numFmtId="169" fontId="204" fillId="105" borderId="94" applyProtection="0">
      <alignment vertical="center"/>
    </xf>
    <xf numFmtId="4" fontId="204" fillId="105" borderId="94">
      <alignment vertical="center"/>
    </xf>
    <xf numFmtId="4" fontId="204" fillId="104" borderId="94">
      <alignment vertical="center"/>
    </xf>
    <xf numFmtId="4" fontId="204" fillId="96" borderId="94">
      <alignment vertical="center"/>
    </xf>
    <xf numFmtId="4" fontId="204" fillId="96" borderId="94">
      <alignment vertical="center"/>
    </xf>
    <xf numFmtId="4" fontId="204" fillId="96" borderId="94" applyProtection="0">
      <alignment vertical="center"/>
    </xf>
    <xf numFmtId="4" fontId="204" fillId="104" borderId="94">
      <alignment vertical="center"/>
    </xf>
    <xf numFmtId="4" fontId="204" fillId="104" borderId="94" applyProtection="0">
      <alignment vertical="center"/>
    </xf>
    <xf numFmtId="4" fontId="204" fillId="105" borderId="94">
      <alignment vertical="center"/>
    </xf>
    <xf numFmtId="4" fontId="204" fillId="105" borderId="94">
      <alignment vertical="center"/>
    </xf>
    <xf numFmtId="4" fontId="204" fillId="105" borderId="94" applyProtection="0">
      <alignment vertical="center"/>
    </xf>
    <xf numFmtId="4" fontId="204" fillId="105" borderId="94">
      <alignment vertical="center"/>
    </xf>
    <xf numFmtId="4" fontId="204" fillId="105" borderId="94">
      <alignment vertical="center"/>
    </xf>
    <xf numFmtId="4" fontId="204" fillId="105" borderId="94" applyProtection="0">
      <alignment vertical="center"/>
    </xf>
    <xf numFmtId="4" fontId="204" fillId="105" borderId="94">
      <alignment vertical="center"/>
    </xf>
    <xf numFmtId="4" fontId="204" fillId="105" borderId="94">
      <alignment vertical="center"/>
    </xf>
    <xf numFmtId="4" fontId="204" fillId="105" borderId="94" applyProtection="0">
      <alignment vertical="center"/>
    </xf>
    <xf numFmtId="4" fontId="204" fillId="105" borderId="94">
      <alignment vertical="center"/>
    </xf>
    <xf numFmtId="4" fontId="204" fillId="105" borderId="94" applyProtection="0">
      <alignment vertical="center"/>
    </xf>
    <xf numFmtId="170" fontId="204" fillId="105" borderId="94">
      <alignment vertical="center"/>
    </xf>
    <xf numFmtId="170" fontId="204" fillId="104" borderId="94">
      <alignment vertical="center"/>
    </xf>
    <xf numFmtId="170" fontId="204" fillId="96" borderId="94">
      <alignment vertical="center"/>
    </xf>
    <xf numFmtId="170" fontId="204" fillId="96" borderId="94">
      <alignment vertical="center"/>
    </xf>
    <xf numFmtId="170" fontId="204" fillId="96" borderId="94" applyProtection="0">
      <alignment vertical="center"/>
    </xf>
    <xf numFmtId="170" fontId="204" fillId="104" borderId="94">
      <alignment vertical="center"/>
    </xf>
    <xf numFmtId="170" fontId="204" fillId="104" borderId="94" applyProtection="0">
      <alignment vertical="center"/>
    </xf>
    <xf numFmtId="170" fontId="204" fillId="105" borderId="94">
      <alignment vertical="center"/>
    </xf>
    <xf numFmtId="170" fontId="204" fillId="105" borderId="94">
      <alignment vertical="center"/>
    </xf>
    <xf numFmtId="170" fontId="204" fillId="105" borderId="94" applyProtection="0">
      <alignment vertical="center"/>
    </xf>
    <xf numFmtId="170" fontId="204" fillId="105" borderId="94">
      <alignment vertical="center"/>
    </xf>
    <xf numFmtId="170" fontId="204" fillId="105" borderId="94">
      <alignment vertical="center"/>
    </xf>
    <xf numFmtId="170" fontId="204" fillId="105" borderId="94" applyProtection="0">
      <alignment vertical="center"/>
    </xf>
    <xf numFmtId="170" fontId="204" fillId="105" borderId="94">
      <alignment vertical="center"/>
    </xf>
    <xf numFmtId="170" fontId="204" fillId="105" borderId="94">
      <alignment vertical="center"/>
    </xf>
    <xf numFmtId="170" fontId="204" fillId="105" borderId="94" applyProtection="0">
      <alignment vertical="center"/>
    </xf>
    <xf numFmtId="170" fontId="204" fillId="105" borderId="94">
      <alignment vertical="center"/>
    </xf>
    <xf numFmtId="170" fontId="204" fillId="105" borderId="94" applyProtection="0">
      <alignment vertical="center"/>
    </xf>
    <xf numFmtId="187" fontId="204" fillId="105" borderId="94">
      <alignment vertical="center"/>
    </xf>
    <xf numFmtId="187" fontId="204" fillId="104" borderId="94">
      <alignment vertical="center"/>
    </xf>
    <xf numFmtId="187" fontId="204" fillId="96" borderId="94">
      <alignment vertical="center"/>
    </xf>
    <xf numFmtId="187" fontId="204" fillId="96" borderId="94">
      <alignment vertical="center"/>
    </xf>
    <xf numFmtId="187" fontId="204" fillId="96" borderId="94" applyProtection="0">
      <alignment vertical="center"/>
    </xf>
    <xf numFmtId="187" fontId="204" fillId="104" borderId="94">
      <alignment vertical="center"/>
    </xf>
    <xf numFmtId="187" fontId="204" fillId="104" borderId="94" applyProtection="0">
      <alignment vertical="center"/>
    </xf>
    <xf numFmtId="187" fontId="204" fillId="105" borderId="94">
      <alignment vertical="center"/>
    </xf>
    <xf numFmtId="187" fontId="204" fillId="105" borderId="94">
      <alignment vertical="center"/>
    </xf>
    <xf numFmtId="187" fontId="204" fillId="105" borderId="94" applyProtection="0">
      <alignment vertical="center"/>
    </xf>
    <xf numFmtId="187" fontId="204" fillId="105" borderId="94">
      <alignment vertical="center"/>
    </xf>
    <xf numFmtId="187" fontId="204" fillId="105" borderId="94">
      <alignment vertical="center"/>
    </xf>
    <xf numFmtId="187" fontId="204" fillId="105" borderId="94" applyProtection="0">
      <alignment vertical="center"/>
    </xf>
    <xf numFmtId="187" fontId="204" fillId="105" borderId="94">
      <alignment vertical="center"/>
    </xf>
    <xf numFmtId="187" fontId="204" fillId="105" borderId="94">
      <alignment vertical="center"/>
    </xf>
    <xf numFmtId="187" fontId="204" fillId="105" borderId="94" applyProtection="0">
      <alignment vertical="center"/>
    </xf>
    <xf numFmtId="187" fontId="204" fillId="105" borderId="94">
      <alignment vertical="center"/>
    </xf>
    <xf numFmtId="187" fontId="204" fillId="105" borderId="94" applyProtection="0">
      <alignment vertical="center"/>
    </xf>
    <xf numFmtId="3" fontId="204" fillId="105" borderId="94">
      <alignment vertical="center"/>
    </xf>
    <xf numFmtId="3" fontId="204" fillId="104" borderId="94">
      <alignment vertical="center"/>
    </xf>
    <xf numFmtId="3" fontId="204" fillId="96" borderId="94">
      <alignment vertical="center"/>
    </xf>
    <xf numFmtId="3" fontId="204" fillId="96" borderId="94">
      <alignment vertical="center"/>
    </xf>
    <xf numFmtId="3" fontId="204" fillId="96" borderId="94" applyProtection="0">
      <alignment vertical="center"/>
    </xf>
    <xf numFmtId="3" fontId="204" fillId="104" borderId="94">
      <alignment vertical="center"/>
    </xf>
    <xf numFmtId="3" fontId="204" fillId="104" borderId="94" applyProtection="0">
      <alignment vertical="center"/>
    </xf>
    <xf numFmtId="3" fontId="204" fillId="105" borderId="94">
      <alignment vertical="center"/>
    </xf>
    <xf numFmtId="3" fontId="204" fillId="105" borderId="94">
      <alignment vertical="center"/>
    </xf>
    <xf numFmtId="3" fontId="204" fillId="105" borderId="94" applyProtection="0">
      <alignment vertical="center"/>
    </xf>
    <xf numFmtId="3" fontId="204" fillId="105" borderId="94">
      <alignment vertical="center"/>
    </xf>
    <xf numFmtId="3" fontId="204" fillId="105" borderId="94">
      <alignment vertical="center"/>
    </xf>
    <xf numFmtId="3" fontId="204" fillId="105" borderId="94" applyProtection="0">
      <alignment vertical="center"/>
    </xf>
    <xf numFmtId="3" fontId="204" fillId="105" borderId="94">
      <alignment vertical="center"/>
    </xf>
    <xf numFmtId="3" fontId="204" fillId="105" borderId="94">
      <alignment vertical="center"/>
    </xf>
    <xf numFmtId="3" fontId="204" fillId="105" borderId="94" applyProtection="0">
      <alignment vertical="center"/>
    </xf>
    <xf numFmtId="3" fontId="204" fillId="105" borderId="94">
      <alignment vertical="center"/>
    </xf>
    <xf numFmtId="3" fontId="204" fillId="105" borderId="94" applyProtection="0">
      <alignment vertical="center"/>
    </xf>
    <xf numFmtId="0" fontId="205" fillId="105" borderId="94">
      <alignment vertical="center"/>
    </xf>
    <xf numFmtId="188" fontId="205" fillId="104" borderId="94">
      <alignment vertical="center"/>
    </xf>
    <xf numFmtId="188" fontId="206" fillId="96" borderId="94">
      <alignment vertical="center"/>
    </xf>
    <xf numFmtId="204" fontId="206" fillId="96" borderId="94">
      <alignment vertical="center"/>
    </xf>
    <xf numFmtId="201" fontId="206" fillId="96" borderId="94" applyProtection="0">
      <alignment vertical="center"/>
    </xf>
    <xf numFmtId="204" fontId="205" fillId="104" borderId="94">
      <alignment vertical="center"/>
    </xf>
    <xf numFmtId="201" fontId="205" fillId="104" borderId="94" applyProtection="0">
      <alignment vertical="center"/>
    </xf>
    <xf numFmtId="188" fontId="205" fillId="105" borderId="94">
      <alignment vertical="center"/>
    </xf>
    <xf numFmtId="204" fontId="205" fillId="105" borderId="94">
      <alignment vertical="center"/>
    </xf>
    <xf numFmtId="201" fontId="205" fillId="105" borderId="94" applyProtection="0">
      <alignment vertical="center"/>
    </xf>
    <xf numFmtId="188" fontId="205" fillId="105" borderId="94">
      <alignment vertical="center"/>
    </xf>
    <xf numFmtId="204" fontId="205" fillId="105" borderId="94">
      <alignment vertical="center"/>
    </xf>
    <xf numFmtId="201" fontId="205" fillId="105" borderId="94" applyProtection="0">
      <alignment vertical="center"/>
    </xf>
    <xf numFmtId="188" fontId="206" fillId="105" borderId="94">
      <alignment vertical="center"/>
    </xf>
    <xf numFmtId="204" fontId="206" fillId="105" borderId="94">
      <alignment vertical="center"/>
    </xf>
    <xf numFmtId="201" fontId="206" fillId="105" borderId="94" applyProtection="0">
      <alignment vertical="center"/>
    </xf>
    <xf numFmtId="0" fontId="205" fillId="105" borderId="94">
      <alignment vertical="center"/>
    </xf>
    <xf numFmtId="0" fontId="205" fillId="105" borderId="94" applyNumberFormat="0" applyProtection="0">
      <alignment vertical="center"/>
    </xf>
    <xf numFmtId="0" fontId="205" fillId="105" borderId="94">
      <alignment vertical="center"/>
    </xf>
    <xf numFmtId="189" fontId="205" fillId="104" borderId="94">
      <alignment vertical="center"/>
    </xf>
    <xf numFmtId="189" fontId="206" fillId="96" borderId="94">
      <alignment vertical="center"/>
    </xf>
    <xf numFmtId="205" fontId="206" fillId="96" borderId="94">
      <alignment vertical="center"/>
    </xf>
    <xf numFmtId="202" fontId="206" fillId="96" borderId="94" applyProtection="0">
      <alignment vertical="center"/>
    </xf>
    <xf numFmtId="205" fontId="205" fillId="104" borderId="94">
      <alignment vertical="center"/>
    </xf>
    <xf numFmtId="202" fontId="205" fillId="104" borderId="94" applyProtection="0">
      <alignment vertical="center"/>
    </xf>
    <xf numFmtId="189" fontId="205" fillId="105" borderId="94">
      <alignment vertical="center"/>
    </xf>
    <xf numFmtId="205" fontId="205" fillId="105" borderId="94">
      <alignment vertical="center"/>
    </xf>
    <xf numFmtId="202" fontId="205" fillId="105" borderId="94" applyProtection="0">
      <alignment vertical="center"/>
    </xf>
    <xf numFmtId="189" fontId="205" fillId="105" borderId="94">
      <alignment vertical="center"/>
    </xf>
    <xf numFmtId="205" fontId="205" fillId="105" borderId="94">
      <alignment vertical="center"/>
    </xf>
    <xf numFmtId="202" fontId="205" fillId="105" borderId="94" applyProtection="0">
      <alignment vertical="center"/>
    </xf>
    <xf numFmtId="189" fontId="206" fillId="105" borderId="94">
      <alignment vertical="center"/>
    </xf>
    <xf numFmtId="205" fontId="206" fillId="105" borderId="94">
      <alignment vertical="center"/>
    </xf>
    <xf numFmtId="202" fontId="206" fillId="105" borderId="94" applyProtection="0">
      <alignment vertical="center"/>
    </xf>
    <xf numFmtId="0" fontId="205" fillId="105" borderId="94">
      <alignment vertical="center"/>
    </xf>
    <xf numFmtId="0" fontId="205" fillId="105" borderId="94" applyNumberFormat="0" applyProtection="0">
      <alignment vertical="center"/>
    </xf>
    <xf numFmtId="0" fontId="205" fillId="105" borderId="94">
      <alignment vertical="center"/>
    </xf>
    <xf numFmtId="190" fontId="205" fillId="104" borderId="94">
      <alignment vertical="center"/>
    </xf>
    <xf numFmtId="190" fontId="206" fillId="96" borderId="94">
      <alignment vertical="center"/>
    </xf>
    <xf numFmtId="206" fontId="206" fillId="96" borderId="94">
      <alignment vertical="center"/>
    </xf>
    <xf numFmtId="203" fontId="206" fillId="96" borderId="94" applyProtection="0">
      <alignment vertical="center"/>
    </xf>
    <xf numFmtId="206" fontId="205" fillId="104" borderId="94">
      <alignment vertical="center"/>
    </xf>
    <xf numFmtId="203" fontId="205" fillId="104" borderId="94" applyProtection="0">
      <alignment vertical="center"/>
    </xf>
    <xf numFmtId="190" fontId="205" fillId="105" borderId="94">
      <alignment vertical="center"/>
    </xf>
    <xf numFmtId="206" fontId="205" fillId="105" borderId="94">
      <alignment vertical="center"/>
    </xf>
    <xf numFmtId="203" fontId="205" fillId="105" borderId="94" applyProtection="0">
      <alignment vertical="center"/>
    </xf>
    <xf numFmtId="190" fontId="205" fillId="105" borderId="94">
      <alignment vertical="center"/>
    </xf>
    <xf numFmtId="206" fontId="205" fillId="105" borderId="94">
      <alignment vertical="center"/>
    </xf>
    <xf numFmtId="203" fontId="205" fillId="105" borderId="94" applyProtection="0">
      <alignment vertical="center"/>
    </xf>
    <xf numFmtId="190" fontId="206" fillId="105" borderId="94">
      <alignment vertical="center"/>
    </xf>
    <xf numFmtId="206" fontId="206" fillId="105" borderId="94">
      <alignment vertical="center"/>
    </xf>
    <xf numFmtId="203" fontId="206" fillId="105" borderId="94" applyProtection="0">
      <alignment vertical="center"/>
    </xf>
    <xf numFmtId="0" fontId="205" fillId="105" borderId="94">
      <alignment vertical="center"/>
    </xf>
    <xf numFmtId="0" fontId="205" fillId="105" borderId="94" applyNumberFormat="0" applyProtection="0">
      <alignment vertical="center"/>
    </xf>
    <xf numFmtId="191" fontId="207" fillId="105" borderId="94">
      <alignment vertical="center"/>
    </xf>
    <xf numFmtId="191" fontId="207" fillId="104" borderId="94">
      <alignment vertical="center"/>
    </xf>
    <xf numFmtId="191" fontId="207" fillId="96" borderId="94">
      <alignment vertical="center"/>
    </xf>
    <xf numFmtId="191" fontId="207" fillId="96" borderId="94">
      <alignment vertical="center"/>
    </xf>
    <xf numFmtId="191" fontId="207" fillId="96" borderId="94" applyProtection="0">
      <alignment vertical="center"/>
    </xf>
    <xf numFmtId="191" fontId="207" fillId="104" borderId="94">
      <alignment vertical="center"/>
    </xf>
    <xf numFmtId="191" fontId="207" fillId="104" borderId="94" applyProtection="0">
      <alignment vertical="center"/>
    </xf>
    <xf numFmtId="191" fontId="207" fillId="105" borderId="94">
      <alignment vertical="center"/>
    </xf>
    <xf numFmtId="191" fontId="207" fillId="105" borderId="94">
      <alignment vertical="center"/>
    </xf>
    <xf numFmtId="191" fontId="207" fillId="105" borderId="94" applyProtection="0">
      <alignment vertical="center"/>
    </xf>
    <xf numFmtId="191" fontId="207" fillId="105" borderId="94">
      <alignment vertical="center"/>
    </xf>
    <xf numFmtId="191" fontId="207" fillId="105" borderId="94">
      <alignment vertical="center"/>
    </xf>
    <xf numFmtId="191" fontId="207" fillId="105" borderId="94" applyProtection="0">
      <alignment vertical="center"/>
    </xf>
    <xf numFmtId="191" fontId="207" fillId="105" borderId="94">
      <alignment vertical="center"/>
    </xf>
    <xf numFmtId="191" fontId="207" fillId="105" borderId="94">
      <alignment vertical="center"/>
    </xf>
    <xf numFmtId="191" fontId="207" fillId="105" borderId="94" applyProtection="0">
      <alignment vertical="center"/>
    </xf>
    <xf numFmtId="191" fontId="207" fillId="105" borderId="94">
      <alignment vertical="center"/>
    </xf>
    <xf numFmtId="191" fontId="207" fillId="105" borderId="94" applyProtection="0">
      <alignment vertical="center"/>
    </xf>
    <xf numFmtId="192" fontId="207" fillId="105" borderId="94">
      <alignment vertical="center"/>
    </xf>
    <xf numFmtId="192" fontId="207" fillId="104" borderId="94">
      <alignment vertical="center"/>
    </xf>
    <xf numFmtId="192" fontId="207" fillId="96" borderId="94">
      <alignment vertical="center"/>
    </xf>
    <xf numFmtId="192" fontId="207" fillId="96" borderId="94">
      <alignment vertical="center"/>
    </xf>
    <xf numFmtId="192" fontId="207" fillId="96" borderId="94" applyProtection="0">
      <alignment vertical="center"/>
    </xf>
    <xf numFmtId="192" fontId="207" fillId="104" borderId="94">
      <alignment vertical="center"/>
    </xf>
    <xf numFmtId="192" fontId="207" fillId="104" borderId="94" applyProtection="0">
      <alignment vertical="center"/>
    </xf>
    <xf numFmtId="192" fontId="207" fillId="105" borderId="94">
      <alignment vertical="center"/>
    </xf>
    <xf numFmtId="192" fontId="207" fillId="105" borderId="94">
      <alignment vertical="center"/>
    </xf>
    <xf numFmtId="192" fontId="207" fillId="105" borderId="94" applyProtection="0">
      <alignment vertical="center"/>
    </xf>
    <xf numFmtId="192" fontId="207" fillId="105" borderId="94">
      <alignment vertical="center"/>
    </xf>
    <xf numFmtId="192" fontId="207" fillId="105" borderId="94">
      <alignment vertical="center"/>
    </xf>
    <xf numFmtId="192" fontId="207" fillId="105" borderId="94" applyProtection="0">
      <alignment vertical="center"/>
    </xf>
    <xf numFmtId="192" fontId="207" fillId="105" borderId="94">
      <alignment vertical="center"/>
    </xf>
    <xf numFmtId="192" fontId="207" fillId="105" borderId="94">
      <alignment vertical="center"/>
    </xf>
    <xf numFmtId="192" fontId="207" fillId="105" borderId="94" applyProtection="0">
      <alignment vertical="center"/>
    </xf>
    <xf numFmtId="192" fontId="207" fillId="105" borderId="94">
      <alignment vertical="center"/>
    </xf>
    <xf numFmtId="192" fontId="207" fillId="105" borderId="94" applyProtection="0">
      <alignment vertical="center"/>
    </xf>
    <xf numFmtId="193" fontId="207" fillId="105" borderId="94">
      <alignment vertical="center"/>
    </xf>
    <xf numFmtId="193" fontId="207" fillId="104" borderId="94">
      <alignment vertical="center"/>
    </xf>
    <xf numFmtId="193" fontId="207" fillId="96" borderId="94">
      <alignment vertical="center"/>
    </xf>
    <xf numFmtId="193" fontId="207" fillId="96" borderId="94">
      <alignment vertical="center"/>
    </xf>
    <xf numFmtId="193" fontId="207" fillId="96" borderId="94" applyProtection="0">
      <alignment vertical="center"/>
    </xf>
    <xf numFmtId="193" fontId="207" fillId="104" borderId="94">
      <alignment vertical="center"/>
    </xf>
    <xf numFmtId="193" fontId="207" fillId="104" borderId="94" applyProtection="0">
      <alignment vertical="center"/>
    </xf>
    <xf numFmtId="193" fontId="207" fillId="105" borderId="94">
      <alignment vertical="center"/>
    </xf>
    <xf numFmtId="193" fontId="207" fillId="105" borderId="94">
      <alignment vertical="center"/>
    </xf>
    <xf numFmtId="193" fontId="207" fillId="105" borderId="94" applyProtection="0">
      <alignment vertical="center"/>
    </xf>
    <xf numFmtId="193" fontId="207" fillId="105" borderId="94">
      <alignment vertical="center"/>
    </xf>
    <xf numFmtId="193" fontId="207" fillId="105" borderId="94">
      <alignment vertical="center"/>
    </xf>
    <xf numFmtId="193" fontId="207" fillId="105" borderId="94" applyProtection="0">
      <alignment vertical="center"/>
    </xf>
    <xf numFmtId="193" fontId="207" fillId="105" borderId="94">
      <alignment vertical="center"/>
    </xf>
    <xf numFmtId="193" fontId="207" fillId="105" borderId="94">
      <alignment vertical="center"/>
    </xf>
    <xf numFmtId="193" fontId="207" fillId="105" borderId="94" applyProtection="0">
      <alignment vertical="center"/>
    </xf>
    <xf numFmtId="193" fontId="207" fillId="105" borderId="94">
      <alignment vertical="center"/>
    </xf>
    <xf numFmtId="193" fontId="207" fillId="105" borderId="94" applyProtection="0">
      <alignment vertical="center"/>
    </xf>
    <xf numFmtId="164" fontId="208" fillId="105" borderId="94">
      <alignment vertical="center"/>
    </xf>
    <xf numFmtId="164" fontId="209" fillId="104" borderId="94">
      <alignment vertical="center"/>
    </xf>
    <xf numFmtId="164" fontId="210" fillId="96" borderId="94">
      <alignment vertical="center"/>
    </xf>
    <xf numFmtId="164" fontId="210" fillId="96" borderId="94">
      <alignment vertical="center"/>
    </xf>
    <xf numFmtId="164" fontId="210" fillId="96" borderId="94" applyProtection="0">
      <alignment vertical="center"/>
    </xf>
    <xf numFmtId="164" fontId="209" fillId="104" borderId="94">
      <alignment vertical="center"/>
    </xf>
    <xf numFmtId="164" fontId="209" fillId="104" borderId="94" applyProtection="0">
      <alignment vertical="center"/>
    </xf>
    <xf numFmtId="164" fontId="208" fillId="105" borderId="94">
      <alignment vertical="center"/>
    </xf>
    <xf numFmtId="164" fontId="208" fillId="105" borderId="94">
      <alignment vertical="center"/>
    </xf>
    <xf numFmtId="164" fontId="208" fillId="105" borderId="94" applyProtection="0">
      <alignment vertical="center"/>
    </xf>
    <xf numFmtId="164" fontId="211" fillId="105" borderId="94">
      <alignment vertical="center"/>
    </xf>
    <xf numFmtId="164" fontId="211" fillId="105" borderId="94">
      <alignment vertical="center"/>
    </xf>
    <xf numFmtId="164" fontId="211" fillId="105" borderId="94" applyProtection="0">
      <alignment vertical="center"/>
    </xf>
    <xf numFmtId="164" fontId="210" fillId="105" borderId="94">
      <alignment vertical="center"/>
    </xf>
    <xf numFmtId="164" fontId="210" fillId="105" borderId="94">
      <alignment vertical="center"/>
    </xf>
    <xf numFmtId="164" fontId="210" fillId="105" borderId="94" applyProtection="0">
      <alignment vertical="center"/>
    </xf>
    <xf numFmtId="164" fontId="208" fillId="105" borderId="94">
      <alignment vertical="center"/>
    </xf>
    <xf numFmtId="164" fontId="208" fillId="105" borderId="94" applyProtection="0">
      <alignment vertical="center"/>
    </xf>
    <xf numFmtId="194" fontId="208" fillId="105" borderId="94">
      <alignment vertical="center"/>
    </xf>
    <xf numFmtId="194" fontId="209" fillId="104" borderId="94">
      <alignment vertical="center"/>
    </xf>
    <xf numFmtId="194" fontId="210" fillId="96" borderId="94">
      <alignment vertical="center"/>
    </xf>
    <xf numFmtId="194" fontId="210" fillId="96" borderId="94">
      <alignment vertical="center"/>
    </xf>
    <xf numFmtId="194" fontId="210" fillId="96" borderId="94" applyProtection="0">
      <alignment vertical="center"/>
    </xf>
    <xf numFmtId="194" fontId="209" fillId="104" borderId="94">
      <alignment vertical="center"/>
    </xf>
    <xf numFmtId="194" fontId="209" fillId="104" borderId="94" applyProtection="0">
      <alignment vertical="center"/>
    </xf>
    <xf numFmtId="194" fontId="208" fillId="105" borderId="94">
      <alignment vertical="center"/>
    </xf>
    <xf numFmtId="194" fontId="208" fillId="105" borderId="94">
      <alignment vertical="center"/>
    </xf>
    <xf numFmtId="194" fontId="208" fillId="105" borderId="94" applyProtection="0">
      <alignment vertical="center"/>
    </xf>
    <xf numFmtId="194" fontId="211" fillId="105" borderId="94">
      <alignment vertical="center"/>
    </xf>
    <xf numFmtId="194" fontId="211" fillId="105" borderId="94">
      <alignment vertical="center"/>
    </xf>
    <xf numFmtId="194" fontId="211" fillId="105" borderId="94" applyProtection="0">
      <alignment vertical="center"/>
    </xf>
    <xf numFmtId="194" fontId="210" fillId="105" borderId="94">
      <alignment vertical="center"/>
    </xf>
    <xf numFmtId="194" fontId="210" fillId="105" borderId="94">
      <alignment vertical="center"/>
    </xf>
    <xf numFmtId="194" fontId="210" fillId="105" borderId="94" applyProtection="0">
      <alignment vertical="center"/>
    </xf>
    <xf numFmtId="194" fontId="208" fillId="105" borderId="94">
      <alignment vertical="center"/>
    </xf>
    <xf numFmtId="194" fontId="208" fillId="105" borderId="94" applyProtection="0">
      <alignment vertical="center"/>
    </xf>
    <xf numFmtId="180" fontId="208" fillId="105" borderId="94">
      <alignment vertical="center"/>
    </xf>
    <xf numFmtId="180" fontId="209" fillId="104" borderId="94">
      <alignment vertical="center"/>
    </xf>
    <xf numFmtId="180" fontId="210" fillId="96" borderId="94">
      <alignment vertical="center"/>
    </xf>
    <xf numFmtId="180" fontId="210" fillId="96" borderId="94">
      <alignment vertical="center"/>
    </xf>
    <xf numFmtId="180" fontId="210" fillId="96" borderId="94" applyProtection="0">
      <alignment vertical="center"/>
    </xf>
    <xf numFmtId="180" fontId="209" fillId="104" borderId="94">
      <alignment vertical="center"/>
    </xf>
    <xf numFmtId="180" fontId="209" fillId="104" borderId="94" applyProtection="0">
      <alignment vertical="center"/>
    </xf>
    <xf numFmtId="180" fontId="208" fillId="105" borderId="94">
      <alignment vertical="center"/>
    </xf>
    <xf numFmtId="180" fontId="208" fillId="105" borderId="94">
      <alignment vertical="center"/>
    </xf>
    <xf numFmtId="180" fontId="208" fillId="105" borderId="94" applyProtection="0">
      <alignment vertical="center"/>
    </xf>
    <xf numFmtId="180" fontId="211" fillId="105" borderId="94">
      <alignment vertical="center"/>
    </xf>
    <xf numFmtId="180" fontId="211" fillId="105" borderId="94">
      <alignment vertical="center"/>
    </xf>
    <xf numFmtId="180" fontId="211" fillId="105" borderId="94" applyProtection="0">
      <alignment vertical="center"/>
    </xf>
    <xf numFmtId="180" fontId="210" fillId="105" borderId="94">
      <alignment vertical="center"/>
    </xf>
    <xf numFmtId="180" fontId="210" fillId="105" borderId="94">
      <alignment vertical="center"/>
    </xf>
    <xf numFmtId="180" fontId="210" fillId="105" borderId="94" applyProtection="0">
      <alignment vertical="center"/>
    </xf>
    <xf numFmtId="180" fontId="208" fillId="105" borderId="94">
      <alignment vertical="center"/>
    </xf>
    <xf numFmtId="180" fontId="208" fillId="105" borderId="94" applyProtection="0">
      <alignment vertical="center"/>
    </xf>
    <xf numFmtId="0" fontId="212" fillId="105" borderId="94">
      <alignment vertical="center"/>
    </xf>
    <xf numFmtId="0" fontId="213" fillId="104" borderId="94">
      <alignment vertical="center"/>
    </xf>
    <xf numFmtId="0" fontId="213" fillId="96" borderId="94">
      <alignment vertical="center"/>
    </xf>
    <xf numFmtId="0" fontId="213" fillId="96" borderId="94">
      <alignment vertical="center"/>
    </xf>
    <xf numFmtId="0" fontId="213" fillId="96" borderId="94" applyNumberFormat="0" applyProtection="0">
      <alignment vertical="center"/>
    </xf>
    <xf numFmtId="0" fontId="213" fillId="104" borderId="94">
      <alignment vertical="center"/>
    </xf>
    <xf numFmtId="0" fontId="213" fillId="104" borderId="94" applyNumberFormat="0" applyProtection="0">
      <alignment vertical="center"/>
    </xf>
    <xf numFmtId="0" fontId="213" fillId="105" borderId="94">
      <alignment vertical="center"/>
    </xf>
    <xf numFmtId="0" fontId="213" fillId="105" borderId="94">
      <alignment vertical="center"/>
    </xf>
    <xf numFmtId="0" fontId="213" fillId="105" borderId="94" applyNumberFormat="0" applyProtection="0">
      <alignment vertical="center"/>
    </xf>
    <xf numFmtId="0" fontId="213" fillId="105" borderId="94">
      <alignment vertical="center"/>
    </xf>
    <xf numFmtId="0" fontId="213" fillId="105" borderId="94">
      <alignment vertical="center"/>
    </xf>
    <xf numFmtId="0" fontId="213" fillId="105" borderId="94" applyNumberFormat="0" applyProtection="0">
      <alignment vertical="center"/>
    </xf>
    <xf numFmtId="0" fontId="213" fillId="105" borderId="94">
      <alignment vertical="center"/>
    </xf>
    <xf numFmtId="0" fontId="213" fillId="105" borderId="94">
      <alignment vertical="center"/>
    </xf>
    <xf numFmtId="0" fontId="213" fillId="105" borderId="94" applyNumberFormat="0" applyProtection="0">
      <alignment vertical="center"/>
    </xf>
    <xf numFmtId="0" fontId="212" fillId="105" borderId="94">
      <alignment vertical="center"/>
    </xf>
    <xf numFmtId="0" fontId="212" fillId="105" borderId="94" applyNumberFormat="0" applyProtection="0">
      <alignment vertical="center"/>
    </xf>
    <xf numFmtId="0" fontId="212" fillId="105" borderId="94">
      <alignment horizontal="left" vertical="center"/>
    </xf>
    <xf numFmtId="0" fontId="212" fillId="104" borderId="94">
      <alignment horizontal="left" vertical="center"/>
    </xf>
    <xf numFmtId="0" fontId="212" fillId="96" borderId="94">
      <alignment horizontal="left" vertical="center"/>
    </xf>
    <xf numFmtId="0" fontId="212" fillId="96" borderId="94">
      <alignment horizontal="left" vertical="center"/>
    </xf>
    <xf numFmtId="0" fontId="212" fillId="96" borderId="94" applyNumberFormat="0" applyProtection="0">
      <alignment horizontal="left" vertical="center"/>
    </xf>
    <xf numFmtId="0" fontId="212" fillId="104" borderId="94">
      <alignment horizontal="left" vertical="center"/>
    </xf>
    <xf numFmtId="0" fontId="212" fillId="104" borderId="94" applyNumberFormat="0" applyProtection="0">
      <alignment horizontal="left" vertical="center"/>
    </xf>
    <xf numFmtId="0" fontId="212" fillId="105" borderId="94">
      <alignment horizontal="left" vertical="center"/>
    </xf>
    <xf numFmtId="0" fontId="212" fillId="105" borderId="94">
      <alignment horizontal="left" vertical="center"/>
    </xf>
    <xf numFmtId="0" fontId="212" fillId="105" borderId="94" applyNumberFormat="0" applyProtection="0">
      <alignment horizontal="left" vertical="center"/>
    </xf>
    <xf numFmtId="0" fontId="212" fillId="105" borderId="94">
      <alignment horizontal="left" vertical="center"/>
    </xf>
    <xf numFmtId="0" fontId="212" fillId="105" borderId="94">
      <alignment horizontal="left" vertical="center"/>
    </xf>
    <xf numFmtId="0" fontId="212" fillId="105" borderId="94" applyNumberFormat="0" applyProtection="0">
      <alignment horizontal="left" vertical="center"/>
    </xf>
    <xf numFmtId="0" fontId="212" fillId="105" borderId="94">
      <alignment horizontal="left" vertical="center"/>
    </xf>
    <xf numFmtId="0" fontId="212" fillId="105" borderId="94">
      <alignment horizontal="left" vertical="center"/>
    </xf>
    <xf numFmtId="0" fontId="212" fillId="105" borderId="94" applyNumberFormat="0" applyProtection="0">
      <alignment horizontal="left" vertical="center"/>
    </xf>
    <xf numFmtId="0" fontId="212" fillId="105" borderId="94">
      <alignment horizontal="left" vertical="center"/>
    </xf>
    <xf numFmtId="0" fontId="212" fillId="105" borderId="94" applyNumberFormat="0" applyProtection="0">
      <alignment horizontal="left" vertical="center"/>
    </xf>
    <xf numFmtId="169" fontId="214" fillId="118" borderId="94">
      <alignment vertical="center"/>
    </xf>
    <xf numFmtId="169" fontId="214" fillId="86" borderId="94">
      <alignment vertical="center"/>
    </xf>
    <xf numFmtId="169" fontId="214" fillId="86" borderId="94">
      <alignment vertical="center"/>
    </xf>
    <xf numFmtId="169" fontId="214" fillId="86" borderId="94" applyProtection="0">
      <alignment vertical="center"/>
    </xf>
    <xf numFmtId="169" fontId="214" fillId="112" borderId="94">
      <alignment vertical="center"/>
    </xf>
    <xf numFmtId="169" fontId="214" fillId="112" borderId="94">
      <alignment vertical="center"/>
    </xf>
    <xf numFmtId="169" fontId="214" fillId="112" borderId="94" applyProtection="0">
      <alignment vertical="center"/>
    </xf>
    <xf numFmtId="169" fontId="214" fillId="119" borderId="94">
      <alignment vertical="center"/>
    </xf>
    <xf numFmtId="169" fontId="214" fillId="119" borderId="94">
      <alignment vertical="center"/>
    </xf>
    <xf numFmtId="169" fontId="214" fillId="119" borderId="94" applyProtection="0">
      <alignment vertical="center"/>
    </xf>
    <xf numFmtId="169" fontId="214" fillId="118" borderId="94">
      <alignment vertical="center"/>
    </xf>
    <xf numFmtId="169" fontId="214" fillId="118" borderId="94">
      <alignment vertical="center"/>
    </xf>
    <xf numFmtId="169" fontId="214" fillId="118" borderId="94" applyProtection="0">
      <alignment vertical="center"/>
    </xf>
    <xf numFmtId="169" fontId="214" fillId="118" borderId="94">
      <alignment vertical="center"/>
    </xf>
    <xf numFmtId="169" fontId="214" fillId="118" borderId="94" applyProtection="0">
      <alignment vertical="center"/>
    </xf>
    <xf numFmtId="4" fontId="214" fillId="118" borderId="94">
      <alignment vertical="center"/>
    </xf>
    <xf numFmtId="4" fontId="214" fillId="86" borderId="94">
      <alignment vertical="center"/>
    </xf>
    <xf numFmtId="4" fontId="214" fillId="86" borderId="94">
      <alignment vertical="center"/>
    </xf>
    <xf numFmtId="4" fontId="214" fillId="86" borderId="94" applyProtection="0">
      <alignment vertical="center"/>
    </xf>
    <xf numFmtId="4" fontId="214" fillId="112" borderId="94">
      <alignment vertical="center"/>
    </xf>
    <xf numFmtId="4" fontId="214" fillId="112" borderId="94">
      <alignment vertical="center"/>
    </xf>
    <xf numFmtId="4" fontId="214" fillId="112" borderId="94" applyProtection="0">
      <alignment vertical="center"/>
    </xf>
    <xf numFmtId="4" fontId="214" fillId="119" borderId="94">
      <alignment vertical="center"/>
    </xf>
    <xf numFmtId="4" fontId="214" fillId="119" borderId="94">
      <alignment vertical="center"/>
    </xf>
    <xf numFmtId="4" fontId="214" fillId="119" borderId="94" applyProtection="0">
      <alignment vertical="center"/>
    </xf>
    <xf numFmtId="4" fontId="214" fillId="118" borderId="94">
      <alignment vertical="center"/>
    </xf>
    <xf numFmtId="4" fontId="214" fillId="118" borderId="94">
      <alignment vertical="center"/>
    </xf>
    <xf numFmtId="4" fontId="214" fillId="118" borderId="94" applyProtection="0">
      <alignment vertical="center"/>
    </xf>
    <xf numFmtId="4" fontId="214" fillId="118" borderId="94">
      <alignment vertical="center"/>
    </xf>
    <xf numFmtId="4" fontId="214" fillId="118" borderId="94" applyProtection="0">
      <alignment vertical="center"/>
    </xf>
    <xf numFmtId="170" fontId="214" fillId="118" borderId="94">
      <alignment vertical="center"/>
    </xf>
    <xf numFmtId="170" fontId="214" fillId="86" borderId="94">
      <alignment vertical="center"/>
    </xf>
    <xf numFmtId="170" fontId="214" fillId="86" borderId="94">
      <alignment vertical="center"/>
    </xf>
    <xf numFmtId="170" fontId="214" fillId="86" borderId="94" applyProtection="0">
      <alignment vertical="center"/>
    </xf>
    <xf numFmtId="170" fontId="214" fillId="112" borderId="94">
      <alignment vertical="center"/>
    </xf>
    <xf numFmtId="170" fontId="214" fillId="112" borderId="94">
      <alignment vertical="center"/>
    </xf>
    <xf numFmtId="170" fontId="214" fillId="112" borderId="94" applyProtection="0">
      <alignment vertical="center"/>
    </xf>
    <xf numFmtId="170" fontId="214" fillId="119" borderId="94">
      <alignment vertical="center"/>
    </xf>
    <xf numFmtId="170" fontId="214" fillId="119" borderId="94">
      <alignment vertical="center"/>
    </xf>
    <xf numFmtId="170" fontId="214" fillId="119" borderId="94" applyProtection="0">
      <alignment vertical="center"/>
    </xf>
    <xf numFmtId="170" fontId="214" fillId="118" borderId="94">
      <alignment vertical="center"/>
    </xf>
    <xf numFmtId="170" fontId="214" fillId="118" borderId="94">
      <alignment vertical="center"/>
    </xf>
    <xf numFmtId="170" fontId="214" fillId="118" borderId="94" applyProtection="0">
      <alignment vertical="center"/>
    </xf>
    <xf numFmtId="170" fontId="214" fillId="118" borderId="94">
      <alignment vertical="center"/>
    </xf>
    <xf numFmtId="170" fontId="214" fillId="118" borderId="94" applyProtection="0">
      <alignment vertical="center"/>
    </xf>
    <xf numFmtId="187" fontId="214" fillId="118" borderId="94">
      <alignment vertical="center"/>
    </xf>
    <xf numFmtId="187" fontId="214" fillId="86" borderId="94">
      <alignment vertical="center"/>
    </xf>
    <xf numFmtId="187" fontId="214" fillId="86" borderId="94">
      <alignment vertical="center"/>
    </xf>
    <xf numFmtId="187" fontId="214" fillId="86" borderId="94" applyProtection="0">
      <alignment vertical="center"/>
    </xf>
    <xf numFmtId="187" fontId="214" fillId="112" borderId="94">
      <alignment vertical="center"/>
    </xf>
    <xf numFmtId="187" fontId="214" fillId="112" borderId="94">
      <alignment vertical="center"/>
    </xf>
    <xf numFmtId="187" fontId="214" fillId="112" borderId="94" applyProtection="0">
      <alignment vertical="center"/>
    </xf>
    <xf numFmtId="187" fontId="214" fillId="119" borderId="94">
      <alignment vertical="center"/>
    </xf>
    <xf numFmtId="187" fontId="214" fillId="119" borderId="94">
      <alignment vertical="center"/>
    </xf>
    <xf numFmtId="187" fontId="214" fillId="119" borderId="94" applyProtection="0">
      <alignment vertical="center"/>
    </xf>
    <xf numFmtId="187" fontId="214" fillId="118" borderId="94">
      <alignment vertical="center"/>
    </xf>
    <xf numFmtId="187" fontId="214" fillId="118" borderId="94">
      <alignment vertical="center"/>
    </xf>
    <xf numFmtId="187" fontId="214" fillId="118" borderId="94" applyProtection="0">
      <alignment vertical="center"/>
    </xf>
    <xf numFmtId="187" fontId="214" fillId="118" borderId="94">
      <alignment vertical="center"/>
    </xf>
    <xf numFmtId="187" fontId="214" fillId="118" borderId="94" applyProtection="0">
      <alignment vertical="center"/>
    </xf>
    <xf numFmtId="3" fontId="214" fillId="118" borderId="94">
      <alignment vertical="center"/>
    </xf>
    <xf numFmtId="3" fontId="214" fillId="86" borderId="94">
      <alignment vertical="center"/>
    </xf>
    <xf numFmtId="3" fontId="214" fillId="86" borderId="94">
      <alignment vertical="center"/>
    </xf>
    <xf numFmtId="3" fontId="214" fillId="86" borderId="94" applyProtection="0">
      <alignment vertical="center"/>
    </xf>
    <xf numFmtId="3" fontId="214" fillId="112" borderId="94">
      <alignment vertical="center"/>
    </xf>
    <xf numFmtId="3" fontId="214" fillId="112" borderId="94">
      <alignment vertical="center"/>
    </xf>
    <xf numFmtId="3" fontId="214" fillId="112" borderId="94" applyProtection="0">
      <alignment vertical="center"/>
    </xf>
    <xf numFmtId="3" fontId="214" fillId="119" borderId="94">
      <alignment vertical="center"/>
    </xf>
    <xf numFmtId="3" fontId="214" fillId="119" borderId="94">
      <alignment vertical="center"/>
    </xf>
    <xf numFmtId="3" fontId="214" fillId="119" borderId="94" applyProtection="0">
      <alignment vertical="center"/>
    </xf>
    <xf numFmtId="3" fontId="214" fillId="118" borderId="94">
      <alignment vertical="center"/>
    </xf>
    <xf numFmtId="3" fontId="214" fillId="118" borderId="94">
      <alignment vertical="center"/>
    </xf>
    <xf numFmtId="3" fontId="214" fillId="118" borderId="94" applyProtection="0">
      <alignment vertical="center"/>
    </xf>
    <xf numFmtId="3" fontId="214" fillId="118" borderId="94">
      <alignment vertical="center"/>
    </xf>
    <xf numFmtId="3" fontId="214" fillId="118" borderId="94" applyProtection="0">
      <alignment vertical="center"/>
    </xf>
    <xf numFmtId="0" fontId="215" fillId="118" borderId="94">
      <alignment vertical="center"/>
    </xf>
    <xf numFmtId="188" fontId="215" fillId="86" borderId="94">
      <alignment vertical="center"/>
    </xf>
    <xf numFmtId="204" fontId="215" fillId="86" borderId="94">
      <alignment vertical="center"/>
    </xf>
    <xf numFmtId="201" fontId="215" fillId="86" borderId="94" applyProtection="0">
      <alignment vertical="center"/>
    </xf>
    <xf numFmtId="188" fontId="215" fillId="112" borderId="94">
      <alignment vertical="center"/>
    </xf>
    <xf numFmtId="204" fontId="215" fillId="112" borderId="94">
      <alignment vertical="center"/>
    </xf>
    <xf numFmtId="201" fontId="215" fillId="112" borderId="94" applyProtection="0">
      <alignment vertical="center"/>
    </xf>
    <xf numFmtId="188" fontId="215" fillId="119" borderId="94">
      <alignment vertical="center"/>
    </xf>
    <xf numFmtId="204" fontId="215" fillId="119" borderId="94">
      <alignment vertical="center"/>
    </xf>
    <xf numFmtId="201" fontId="215" fillId="119" borderId="94" applyProtection="0">
      <alignment vertical="center"/>
    </xf>
    <xf numFmtId="188" fontId="216" fillId="118" borderId="94">
      <alignment vertical="center"/>
    </xf>
    <xf numFmtId="204" fontId="216" fillId="118" borderId="94">
      <alignment vertical="center"/>
    </xf>
    <xf numFmtId="201" fontId="216" fillId="118" borderId="94" applyProtection="0">
      <alignment vertical="center"/>
    </xf>
    <xf numFmtId="0" fontId="215" fillId="118" borderId="94">
      <alignment vertical="center"/>
    </xf>
    <xf numFmtId="0" fontId="215" fillId="118" borderId="94" applyNumberFormat="0" applyProtection="0">
      <alignment vertical="center"/>
    </xf>
    <xf numFmtId="0" fontId="215" fillId="118" borderId="94">
      <alignment vertical="center"/>
    </xf>
    <xf numFmtId="189" fontId="215" fillId="86" borderId="94">
      <alignment vertical="center"/>
    </xf>
    <xf numFmtId="205" fontId="215" fillId="86" borderId="94">
      <alignment vertical="center"/>
    </xf>
    <xf numFmtId="202" fontId="215" fillId="86" borderId="94" applyProtection="0">
      <alignment vertical="center"/>
    </xf>
    <xf numFmtId="189" fontId="215" fillId="112" borderId="94">
      <alignment vertical="center"/>
    </xf>
    <xf numFmtId="205" fontId="215" fillId="112" borderId="94">
      <alignment vertical="center"/>
    </xf>
    <xf numFmtId="202" fontId="215" fillId="112" borderId="94" applyProtection="0">
      <alignment vertical="center"/>
    </xf>
    <xf numFmtId="189" fontId="215" fillId="119" borderId="94">
      <alignment vertical="center"/>
    </xf>
    <xf numFmtId="205" fontId="215" fillId="119" borderId="94">
      <alignment vertical="center"/>
    </xf>
    <xf numFmtId="202" fontId="215" fillId="119" borderId="94" applyProtection="0">
      <alignment vertical="center"/>
    </xf>
    <xf numFmtId="189" fontId="216" fillId="118" borderId="94">
      <alignment vertical="center"/>
    </xf>
    <xf numFmtId="205" fontId="216" fillId="118" borderId="94">
      <alignment vertical="center"/>
    </xf>
    <xf numFmtId="202" fontId="216" fillId="118" borderId="94" applyProtection="0">
      <alignment vertical="center"/>
    </xf>
    <xf numFmtId="0" fontId="215" fillId="118" borderId="94">
      <alignment vertical="center"/>
    </xf>
    <xf numFmtId="0" fontId="215" fillId="118" borderId="94" applyNumberFormat="0" applyProtection="0">
      <alignment vertical="center"/>
    </xf>
    <xf numFmtId="0" fontId="215" fillId="118" borderId="94">
      <alignment vertical="center"/>
    </xf>
    <xf numFmtId="190" fontId="215" fillId="86" borderId="94">
      <alignment vertical="center"/>
    </xf>
    <xf numFmtId="206" fontId="215" fillId="86" borderId="94">
      <alignment vertical="center"/>
    </xf>
    <xf numFmtId="203" fontId="215" fillId="86" borderId="94" applyProtection="0">
      <alignment vertical="center"/>
    </xf>
    <xf numFmtId="190" fontId="215" fillId="112" borderId="94">
      <alignment vertical="center"/>
    </xf>
    <xf numFmtId="206" fontId="215" fillId="112" borderId="94">
      <alignment vertical="center"/>
    </xf>
    <xf numFmtId="203" fontId="215" fillId="112" borderId="94" applyProtection="0">
      <alignment vertical="center"/>
    </xf>
    <xf numFmtId="190" fontId="215" fillId="119" borderId="94">
      <alignment vertical="center"/>
    </xf>
    <xf numFmtId="206" fontId="215" fillId="119" borderId="94">
      <alignment vertical="center"/>
    </xf>
    <xf numFmtId="203" fontId="215" fillId="119" borderId="94" applyProtection="0">
      <alignment vertical="center"/>
    </xf>
    <xf numFmtId="190" fontId="216" fillId="118" borderId="94">
      <alignment vertical="center"/>
    </xf>
    <xf numFmtId="206" fontId="216" fillId="118" borderId="94">
      <alignment vertical="center"/>
    </xf>
    <xf numFmtId="203" fontId="216" fillId="118" borderId="94" applyProtection="0">
      <alignment vertical="center"/>
    </xf>
    <xf numFmtId="0" fontId="215" fillId="118" borderId="94">
      <alignment vertical="center"/>
    </xf>
    <xf numFmtId="0" fontId="215" fillId="118" borderId="94" applyNumberFormat="0" applyProtection="0">
      <alignment vertical="center"/>
    </xf>
    <xf numFmtId="191" fontId="217" fillId="118" borderId="94">
      <alignment vertical="center"/>
    </xf>
    <xf numFmtId="191" fontId="217" fillId="86" borderId="94">
      <alignment vertical="center"/>
    </xf>
    <xf numFmtId="191" fontId="217" fillId="86" borderId="94">
      <alignment vertical="center"/>
    </xf>
    <xf numFmtId="191" fontId="217" fillId="86" borderId="94" applyProtection="0">
      <alignment vertical="center"/>
    </xf>
    <xf numFmtId="191" fontId="217" fillId="112" borderId="94">
      <alignment vertical="center"/>
    </xf>
    <xf numFmtId="191" fontId="217" fillId="112" borderId="94">
      <alignment vertical="center"/>
    </xf>
    <xf numFmtId="191" fontId="217" fillId="112" borderId="94" applyProtection="0">
      <alignment vertical="center"/>
    </xf>
    <xf numFmtId="191" fontId="217" fillId="119" borderId="94">
      <alignment vertical="center"/>
    </xf>
    <xf numFmtId="191" fontId="217" fillId="119" borderId="94">
      <alignment vertical="center"/>
    </xf>
    <xf numFmtId="191" fontId="217" fillId="119" borderId="94" applyProtection="0">
      <alignment vertical="center"/>
    </xf>
    <xf numFmtId="191" fontId="217" fillId="118" borderId="94">
      <alignment vertical="center"/>
    </xf>
    <xf numFmtId="191" fontId="217" fillId="118" borderId="94">
      <alignment vertical="center"/>
    </xf>
    <xf numFmtId="191" fontId="217" fillId="118" borderId="94" applyProtection="0">
      <alignment vertical="center"/>
    </xf>
    <xf numFmtId="191" fontId="217" fillId="118" borderId="94">
      <alignment vertical="center"/>
    </xf>
    <xf numFmtId="191" fontId="217" fillId="118" borderId="94" applyProtection="0">
      <alignment vertical="center"/>
    </xf>
    <xf numFmtId="192" fontId="217" fillId="118" borderId="94">
      <alignment vertical="center"/>
    </xf>
    <xf numFmtId="192" fontId="217" fillId="86" borderId="94">
      <alignment vertical="center"/>
    </xf>
    <xf numFmtId="192" fontId="217" fillId="86" borderId="94">
      <alignment vertical="center"/>
    </xf>
    <xf numFmtId="192" fontId="217" fillId="86" borderId="94" applyProtection="0">
      <alignment vertical="center"/>
    </xf>
    <xf numFmtId="192" fontId="217" fillId="112" borderId="94">
      <alignment vertical="center"/>
    </xf>
    <xf numFmtId="192" fontId="217" fillId="112" borderId="94">
      <alignment vertical="center"/>
    </xf>
    <xf numFmtId="192" fontId="217" fillId="112" borderId="94" applyProtection="0">
      <alignment vertical="center"/>
    </xf>
    <xf numFmtId="192" fontId="217" fillId="119" borderId="94">
      <alignment vertical="center"/>
    </xf>
    <xf numFmtId="192" fontId="217" fillId="119" borderId="94">
      <alignment vertical="center"/>
    </xf>
    <xf numFmtId="192" fontId="217" fillId="119" borderId="94" applyProtection="0">
      <alignment vertical="center"/>
    </xf>
    <xf numFmtId="192" fontId="217" fillId="118" borderId="94">
      <alignment vertical="center"/>
    </xf>
    <xf numFmtId="192" fontId="217" fillId="118" borderId="94">
      <alignment vertical="center"/>
    </xf>
    <xf numFmtId="192" fontId="217" fillId="118" borderId="94" applyProtection="0">
      <alignment vertical="center"/>
    </xf>
    <xf numFmtId="192" fontId="217" fillId="118" borderId="94">
      <alignment vertical="center"/>
    </xf>
    <xf numFmtId="192" fontId="217" fillId="118" borderId="94" applyProtection="0">
      <alignment vertical="center"/>
    </xf>
    <xf numFmtId="193" fontId="217" fillId="118" borderId="94">
      <alignment vertical="center"/>
    </xf>
    <xf numFmtId="193" fontId="217" fillId="86" borderId="94">
      <alignment vertical="center"/>
    </xf>
    <xf numFmtId="193" fontId="217" fillId="86" borderId="94">
      <alignment vertical="center"/>
    </xf>
    <xf numFmtId="193" fontId="217" fillId="86" borderId="94" applyProtection="0">
      <alignment vertical="center"/>
    </xf>
    <xf numFmtId="193" fontId="217" fillId="112" borderId="94">
      <alignment vertical="center"/>
    </xf>
    <xf numFmtId="193" fontId="217" fillId="112" borderId="94">
      <alignment vertical="center"/>
    </xf>
    <xf numFmtId="193" fontId="217" fillId="112" borderId="94" applyProtection="0">
      <alignment vertical="center"/>
    </xf>
    <xf numFmtId="193" fontId="217" fillId="119" borderId="94">
      <alignment vertical="center"/>
    </xf>
    <xf numFmtId="193" fontId="217" fillId="119" borderId="94">
      <alignment vertical="center"/>
    </xf>
    <xf numFmtId="193" fontId="217" fillId="119" borderId="94" applyProtection="0">
      <alignment vertical="center"/>
    </xf>
    <xf numFmtId="193" fontId="217" fillId="118" borderId="94">
      <alignment vertical="center"/>
    </xf>
    <xf numFmtId="193" fontId="217" fillId="118" borderId="94">
      <alignment vertical="center"/>
    </xf>
    <xf numFmtId="193" fontId="217" fillId="118" borderId="94" applyProtection="0">
      <alignment vertical="center"/>
    </xf>
    <xf numFmtId="193" fontId="217" fillId="118" borderId="94">
      <alignment vertical="center"/>
    </xf>
    <xf numFmtId="193" fontId="217" fillId="118" borderId="94" applyProtection="0">
      <alignment vertical="center"/>
    </xf>
    <xf numFmtId="164" fontId="218" fillId="118" borderId="94">
      <alignment vertical="center"/>
    </xf>
    <xf numFmtId="164" fontId="219" fillId="86" borderId="94">
      <alignment vertical="center"/>
    </xf>
    <xf numFmtId="164" fontId="219" fillId="86" borderId="94">
      <alignment vertical="center"/>
    </xf>
    <xf numFmtId="164" fontId="219" fillId="86" borderId="94" applyProtection="0">
      <alignment vertical="center"/>
    </xf>
    <xf numFmtId="164" fontId="218" fillId="112" borderId="94">
      <alignment vertical="center"/>
    </xf>
    <xf numFmtId="164" fontId="218" fillId="112" borderId="94">
      <alignment vertical="center"/>
    </xf>
    <xf numFmtId="164" fontId="218" fillId="112" borderId="94" applyProtection="0">
      <alignment vertical="center"/>
    </xf>
    <xf numFmtId="164" fontId="220" fillId="119" borderId="94">
      <alignment vertical="center"/>
    </xf>
    <xf numFmtId="164" fontId="220" fillId="119" borderId="94">
      <alignment vertical="center"/>
    </xf>
    <xf numFmtId="164" fontId="220" fillId="119" borderId="94" applyProtection="0">
      <alignment vertical="center"/>
    </xf>
    <xf numFmtId="164" fontId="221" fillId="118" borderId="94">
      <alignment vertical="center"/>
    </xf>
    <xf numFmtId="164" fontId="221" fillId="118" borderId="94">
      <alignment vertical="center"/>
    </xf>
    <xf numFmtId="164" fontId="221" fillId="118" borderId="94" applyProtection="0">
      <alignment vertical="center"/>
    </xf>
    <xf numFmtId="164" fontId="218" fillId="118" borderId="94">
      <alignment vertical="center"/>
    </xf>
    <xf numFmtId="164" fontId="218" fillId="118" borderId="94" applyProtection="0">
      <alignment vertical="center"/>
    </xf>
    <xf numFmtId="194" fontId="218" fillId="118" borderId="94">
      <alignment vertical="center"/>
    </xf>
    <xf numFmtId="194" fontId="219" fillId="86" borderId="94">
      <alignment vertical="center"/>
    </xf>
    <xf numFmtId="194" fontId="219" fillId="86" borderId="94">
      <alignment vertical="center"/>
    </xf>
    <xf numFmtId="194" fontId="219" fillId="86" borderId="94" applyProtection="0">
      <alignment vertical="center"/>
    </xf>
    <xf numFmtId="194" fontId="218" fillId="112" borderId="94">
      <alignment vertical="center"/>
    </xf>
    <xf numFmtId="194" fontId="218" fillId="112" borderId="94">
      <alignment vertical="center"/>
    </xf>
    <xf numFmtId="194" fontId="218" fillId="112" borderId="94" applyProtection="0">
      <alignment vertical="center"/>
    </xf>
    <xf numFmtId="194" fontId="220" fillId="119" borderId="94">
      <alignment vertical="center"/>
    </xf>
    <xf numFmtId="194" fontId="220" fillId="119" borderId="94">
      <alignment vertical="center"/>
    </xf>
    <xf numFmtId="194" fontId="220" fillId="119" borderId="94" applyProtection="0">
      <alignment vertical="center"/>
    </xf>
    <xf numFmtId="194" fontId="221" fillId="118" borderId="94">
      <alignment vertical="center"/>
    </xf>
    <xf numFmtId="194" fontId="221" fillId="118" borderId="94">
      <alignment vertical="center"/>
    </xf>
    <xf numFmtId="194" fontId="221" fillId="118" borderId="94" applyProtection="0">
      <alignment vertical="center"/>
    </xf>
    <xf numFmtId="194" fontId="218" fillId="118" borderId="94">
      <alignment vertical="center"/>
    </xf>
    <xf numFmtId="194" fontId="218" fillId="118" borderId="94" applyProtection="0">
      <alignment vertical="center"/>
    </xf>
    <xf numFmtId="180" fontId="218" fillId="118" borderId="94">
      <alignment vertical="center"/>
    </xf>
    <xf numFmtId="180" fontId="219" fillId="86" borderId="94">
      <alignment vertical="center"/>
    </xf>
    <xf numFmtId="180" fontId="219" fillId="86" borderId="94">
      <alignment vertical="center"/>
    </xf>
    <xf numFmtId="180" fontId="219" fillId="86" borderId="94" applyProtection="0">
      <alignment vertical="center"/>
    </xf>
    <xf numFmtId="180" fontId="218" fillId="112" borderId="94">
      <alignment vertical="center"/>
    </xf>
    <xf numFmtId="180" fontId="218" fillId="112" borderId="94">
      <alignment vertical="center"/>
    </xf>
    <xf numFmtId="180" fontId="218" fillId="112" borderId="94" applyProtection="0">
      <alignment vertical="center"/>
    </xf>
    <xf numFmtId="180" fontId="220" fillId="119" borderId="94">
      <alignment vertical="center"/>
    </xf>
    <xf numFmtId="180" fontId="220" fillId="119" borderId="94">
      <alignment vertical="center"/>
    </xf>
    <xf numFmtId="180" fontId="220" fillId="119" borderId="94" applyProtection="0">
      <alignment vertical="center"/>
    </xf>
    <xf numFmtId="180" fontId="221" fillId="118" borderId="94">
      <alignment vertical="center"/>
    </xf>
    <xf numFmtId="180" fontId="221" fillId="118" borderId="94">
      <alignment vertical="center"/>
    </xf>
    <xf numFmtId="180" fontId="221" fillId="118" borderId="94" applyProtection="0">
      <alignment vertical="center"/>
    </xf>
    <xf numFmtId="180" fontId="218" fillId="118" borderId="94">
      <alignment vertical="center"/>
    </xf>
    <xf numFmtId="180" fontId="218" fillId="118" borderId="94" applyProtection="0">
      <alignment vertical="center"/>
    </xf>
    <xf numFmtId="0" fontId="222" fillId="118" borderId="94">
      <alignment vertical="center"/>
    </xf>
    <xf numFmtId="0" fontId="223" fillId="86" borderId="94">
      <alignment vertical="center"/>
    </xf>
    <xf numFmtId="0" fontId="223" fillId="86" borderId="94">
      <alignment vertical="center"/>
    </xf>
    <xf numFmtId="0" fontId="223" fillId="86" borderId="94" applyNumberFormat="0" applyProtection="0">
      <alignment vertical="center"/>
    </xf>
    <xf numFmtId="0" fontId="223" fillId="112" borderId="94">
      <alignment vertical="center"/>
    </xf>
    <xf numFmtId="0" fontId="223" fillId="112" borderId="94">
      <alignment vertical="center"/>
    </xf>
    <xf numFmtId="0" fontId="223" fillId="112" borderId="94" applyNumberFormat="0" applyProtection="0">
      <alignment vertical="center"/>
    </xf>
    <xf numFmtId="0" fontId="223" fillId="119" borderId="94">
      <alignment vertical="center"/>
    </xf>
    <xf numFmtId="0" fontId="223" fillId="119" borderId="94">
      <alignment vertical="center"/>
    </xf>
    <xf numFmtId="0" fontId="223" fillId="119" borderId="94" applyNumberFormat="0" applyProtection="0">
      <alignment vertical="center"/>
    </xf>
    <xf numFmtId="0" fontId="223" fillId="118" borderId="94">
      <alignment vertical="center"/>
    </xf>
    <xf numFmtId="0" fontId="223" fillId="118" borderId="94">
      <alignment vertical="center"/>
    </xf>
    <xf numFmtId="0" fontId="223" fillId="118" borderId="94" applyNumberFormat="0" applyProtection="0">
      <alignment vertical="center"/>
    </xf>
    <xf numFmtId="0" fontId="222" fillId="118" borderId="94">
      <alignment vertical="center"/>
    </xf>
    <xf numFmtId="0" fontId="222" fillId="118" borderId="94" applyNumberFormat="0" applyProtection="0">
      <alignment vertical="center"/>
    </xf>
    <xf numFmtId="0" fontId="222" fillId="118" borderId="94">
      <alignment horizontal="left" vertical="center"/>
    </xf>
    <xf numFmtId="0" fontId="222" fillId="86" borderId="94">
      <alignment horizontal="left" vertical="center"/>
    </xf>
    <xf numFmtId="0" fontId="222" fillId="86" borderId="94">
      <alignment horizontal="left" vertical="center"/>
    </xf>
    <xf numFmtId="0" fontId="222" fillId="86" borderId="94" applyNumberFormat="0" applyProtection="0">
      <alignment horizontal="left" vertical="center"/>
    </xf>
    <xf numFmtId="0" fontId="222" fillId="112" borderId="94">
      <alignment horizontal="left" vertical="center"/>
    </xf>
    <xf numFmtId="0" fontId="222" fillId="112" borderId="94">
      <alignment horizontal="left" vertical="center"/>
    </xf>
    <xf numFmtId="0" fontId="222" fillId="112" borderId="94" applyNumberFormat="0" applyProtection="0">
      <alignment horizontal="left" vertical="center"/>
    </xf>
    <xf numFmtId="0" fontId="222" fillId="119" borderId="94">
      <alignment horizontal="left" vertical="center"/>
    </xf>
    <xf numFmtId="0" fontId="222" fillId="119" borderId="94">
      <alignment horizontal="left" vertical="center"/>
    </xf>
    <xf numFmtId="0" fontId="222" fillId="119" borderId="94" applyNumberFormat="0" applyProtection="0">
      <alignment horizontal="left" vertical="center"/>
    </xf>
    <xf numFmtId="0" fontId="222" fillId="118" borderId="94">
      <alignment horizontal="left" vertical="center"/>
    </xf>
    <xf numFmtId="0" fontId="222" fillId="118" borderId="94">
      <alignment horizontal="left" vertical="center"/>
    </xf>
    <xf numFmtId="0" fontId="222" fillId="118" borderId="94" applyNumberFormat="0" applyProtection="0">
      <alignment horizontal="left" vertical="center"/>
    </xf>
    <xf numFmtId="0" fontId="222" fillId="118" borderId="94">
      <alignment horizontal="left" vertical="center"/>
    </xf>
    <xf numFmtId="0" fontId="222" fillId="118" borderId="94" applyNumberFormat="0" applyProtection="0">
      <alignment horizontal="left" vertical="center"/>
    </xf>
    <xf numFmtId="169" fontId="204" fillId="123" borderId="95">
      <alignment vertical="center"/>
    </xf>
    <xf numFmtId="169" fontId="204" fillId="113" borderId="95">
      <alignment vertical="center"/>
    </xf>
    <xf numFmtId="169" fontId="204" fillId="107" borderId="95">
      <alignment vertical="center"/>
    </xf>
    <xf numFmtId="169" fontId="204" fillId="107" borderId="95">
      <alignment vertical="center"/>
    </xf>
    <xf numFmtId="169" fontId="204" fillId="107" borderId="95" applyProtection="0">
      <alignment vertical="center"/>
    </xf>
    <xf numFmtId="169" fontId="204" fillId="96" borderId="95">
      <alignment vertical="center"/>
    </xf>
    <xf numFmtId="169" fontId="204" fillId="96" borderId="95">
      <alignment vertical="center"/>
    </xf>
    <xf numFmtId="169" fontId="204" fillId="96" borderId="95" applyProtection="0">
      <alignment vertical="center"/>
    </xf>
    <xf numFmtId="169" fontId="204" fillId="113" borderId="95">
      <alignment vertical="center"/>
    </xf>
    <xf numFmtId="169" fontId="204" fillId="113" borderId="95" applyProtection="0">
      <alignment vertical="center"/>
    </xf>
    <xf numFmtId="169" fontId="204" fillId="80" borderId="95">
      <alignment vertical="center"/>
    </xf>
    <xf numFmtId="169" fontId="204" fillId="123" borderId="95">
      <alignment vertical="center"/>
    </xf>
    <xf numFmtId="169" fontId="204" fillId="123" borderId="95">
      <alignment vertical="center"/>
    </xf>
    <xf numFmtId="169" fontId="204" fillId="123" borderId="95" applyProtection="0">
      <alignment vertical="center"/>
    </xf>
    <xf numFmtId="169" fontId="204" fillId="80" borderId="95">
      <alignment vertical="center"/>
    </xf>
    <xf numFmtId="169" fontId="204" fillId="80" borderId="95" applyProtection="0">
      <alignment vertical="center"/>
    </xf>
    <xf numFmtId="169" fontId="204" fillId="107" borderId="95">
      <alignment vertical="center"/>
    </xf>
    <xf numFmtId="169" fontId="204" fillId="107" borderId="95">
      <alignment vertical="center"/>
    </xf>
    <xf numFmtId="169" fontId="204" fillId="107" borderId="95" applyProtection="0">
      <alignment vertical="center"/>
    </xf>
    <xf numFmtId="169" fontId="204" fillId="96" borderId="95">
      <alignment vertical="center"/>
    </xf>
    <xf numFmtId="169" fontId="204" fillId="96" borderId="95">
      <alignment vertical="center"/>
    </xf>
    <xf numFmtId="169" fontId="204" fillId="96" borderId="95" applyProtection="0">
      <alignment vertical="center"/>
    </xf>
    <xf numFmtId="169" fontId="204" fillId="123" borderId="95">
      <alignment vertical="center"/>
    </xf>
    <xf numFmtId="169" fontId="204" fillId="123" borderId="95" applyProtection="0">
      <alignment vertical="center"/>
    </xf>
    <xf numFmtId="4" fontId="204" fillId="113" borderId="95">
      <alignment vertical="center"/>
    </xf>
    <xf numFmtId="4" fontId="204" fillId="107" borderId="95">
      <alignment vertical="center"/>
    </xf>
    <xf numFmtId="4" fontId="204" fillId="96" borderId="95">
      <alignment vertical="center"/>
    </xf>
    <xf numFmtId="4" fontId="204" fillId="96" borderId="95">
      <alignment vertical="center"/>
    </xf>
    <xf numFmtId="4" fontId="204" fillId="96" borderId="95" applyProtection="0">
      <alignment vertical="center"/>
    </xf>
    <xf numFmtId="4" fontId="204" fillId="107" borderId="95">
      <alignment vertical="center"/>
    </xf>
    <xf numFmtId="4" fontId="204" fillId="107" borderId="95" applyProtection="0">
      <alignment vertical="center"/>
    </xf>
    <xf numFmtId="4" fontId="204" fillId="80" borderId="95">
      <alignment vertical="center"/>
    </xf>
    <xf numFmtId="4" fontId="204" fillId="80" borderId="95">
      <alignment vertical="center"/>
    </xf>
    <xf numFmtId="4" fontId="204" fillId="80" borderId="95" applyProtection="0">
      <alignment vertical="center"/>
    </xf>
    <xf numFmtId="4" fontId="204" fillId="107" borderId="95">
      <alignment vertical="center"/>
    </xf>
    <xf numFmtId="4" fontId="204" fillId="107" borderId="95">
      <alignment vertical="center"/>
    </xf>
    <xf numFmtId="4" fontId="204" fillId="107" borderId="95" applyProtection="0">
      <alignment vertical="center"/>
    </xf>
    <xf numFmtId="4" fontId="204" fillId="96" borderId="95">
      <alignment vertical="center"/>
    </xf>
    <xf numFmtId="4" fontId="204" fillId="96" borderId="95">
      <alignment vertical="center"/>
    </xf>
    <xf numFmtId="4" fontId="204" fillId="96" borderId="95" applyProtection="0">
      <alignment vertical="center"/>
    </xf>
    <xf numFmtId="4" fontId="204" fillId="113" borderId="95">
      <alignment vertical="center"/>
    </xf>
    <xf numFmtId="4" fontId="204" fillId="113" borderId="95" applyProtection="0">
      <alignment vertical="center"/>
    </xf>
    <xf numFmtId="170" fontId="204" fillId="113" borderId="95">
      <alignment vertical="center"/>
    </xf>
    <xf numFmtId="170" fontId="204" fillId="107" borderId="95">
      <alignment vertical="center"/>
    </xf>
    <xf numFmtId="170" fontId="204" fillId="96" borderId="95">
      <alignment vertical="center"/>
    </xf>
    <xf numFmtId="170" fontId="204" fillId="96" borderId="95">
      <alignment vertical="center"/>
    </xf>
    <xf numFmtId="170" fontId="204" fillId="96" borderId="95" applyProtection="0">
      <alignment vertical="center"/>
    </xf>
    <xf numFmtId="170" fontId="204" fillId="107" borderId="95">
      <alignment vertical="center"/>
    </xf>
    <xf numFmtId="170" fontId="204" fillId="107" borderId="95" applyProtection="0">
      <alignment vertical="center"/>
    </xf>
    <xf numFmtId="170" fontId="204" fillId="80" borderId="95">
      <alignment vertical="center"/>
    </xf>
    <xf numFmtId="170" fontId="204" fillId="80" borderId="95">
      <alignment vertical="center"/>
    </xf>
    <xf numFmtId="170" fontId="204" fillId="80" borderId="95" applyProtection="0">
      <alignment vertical="center"/>
    </xf>
    <xf numFmtId="170" fontId="204" fillId="107" borderId="95">
      <alignment vertical="center"/>
    </xf>
    <xf numFmtId="170" fontId="204" fillId="107" borderId="95">
      <alignment vertical="center"/>
    </xf>
    <xf numFmtId="170" fontId="204" fillId="107" borderId="95" applyProtection="0">
      <alignment vertical="center"/>
    </xf>
    <xf numFmtId="170" fontId="204" fillId="96" borderId="95">
      <alignment vertical="center"/>
    </xf>
    <xf numFmtId="170" fontId="204" fillId="96" borderId="95">
      <alignment vertical="center"/>
    </xf>
    <xf numFmtId="170" fontId="204" fillId="96" borderId="95" applyProtection="0">
      <alignment vertical="center"/>
    </xf>
    <xf numFmtId="170" fontId="204" fillId="113" borderId="95">
      <alignment vertical="center"/>
    </xf>
    <xf numFmtId="170" fontId="204" fillId="113" borderId="95" applyProtection="0">
      <alignment vertical="center"/>
    </xf>
    <xf numFmtId="187" fontId="204" fillId="113" borderId="95">
      <alignment vertical="center"/>
    </xf>
    <xf numFmtId="187" fontId="204" fillId="107" borderId="95">
      <alignment vertical="center"/>
    </xf>
    <xf numFmtId="187" fontId="204" fillId="96" borderId="95">
      <alignment vertical="center"/>
    </xf>
    <xf numFmtId="187" fontId="204" fillId="96" borderId="95">
      <alignment vertical="center"/>
    </xf>
    <xf numFmtId="187" fontId="204" fillId="96" borderId="95" applyProtection="0">
      <alignment vertical="center"/>
    </xf>
    <xf numFmtId="187" fontId="204" fillId="107" borderId="95">
      <alignment vertical="center"/>
    </xf>
    <xf numFmtId="187" fontId="204" fillId="107" borderId="95" applyProtection="0">
      <alignment vertical="center"/>
    </xf>
    <xf numFmtId="187" fontId="204" fillId="80" borderId="95">
      <alignment vertical="center"/>
    </xf>
    <xf numFmtId="187" fontId="204" fillId="80" borderId="95">
      <alignment vertical="center"/>
    </xf>
    <xf numFmtId="187" fontId="204" fillId="80" borderId="95" applyProtection="0">
      <alignment vertical="center"/>
    </xf>
    <xf numFmtId="187" fontId="204" fillId="107" borderId="95">
      <alignment vertical="center"/>
    </xf>
    <xf numFmtId="187" fontId="204" fillId="107" borderId="95">
      <alignment vertical="center"/>
    </xf>
    <xf numFmtId="187" fontId="204" fillId="107" borderId="95" applyProtection="0">
      <alignment vertical="center"/>
    </xf>
    <xf numFmtId="187" fontId="204" fillId="96" borderId="95">
      <alignment vertical="center"/>
    </xf>
    <xf numFmtId="187" fontId="204" fillId="96" borderId="95">
      <alignment vertical="center"/>
    </xf>
    <xf numFmtId="187" fontId="204" fillId="96" borderId="95" applyProtection="0">
      <alignment vertical="center"/>
    </xf>
    <xf numFmtId="187" fontId="204" fillId="113" borderId="95">
      <alignment vertical="center"/>
    </xf>
    <xf numFmtId="187" fontId="204" fillId="113" borderId="95" applyProtection="0">
      <alignment vertical="center"/>
    </xf>
    <xf numFmtId="3" fontId="204" fillId="113" borderId="95">
      <alignment vertical="center"/>
    </xf>
    <xf numFmtId="3" fontId="204" fillId="107" borderId="95">
      <alignment vertical="center"/>
    </xf>
    <xf numFmtId="3" fontId="204" fillId="96" borderId="95">
      <alignment vertical="center"/>
    </xf>
    <xf numFmtId="3" fontId="204" fillId="96" borderId="95">
      <alignment vertical="center"/>
    </xf>
    <xf numFmtId="3" fontId="204" fillId="96" borderId="95" applyProtection="0">
      <alignment vertical="center"/>
    </xf>
    <xf numFmtId="3" fontId="204" fillId="107" borderId="95">
      <alignment vertical="center"/>
    </xf>
    <xf numFmtId="3" fontId="204" fillId="107" borderId="95" applyProtection="0">
      <alignment vertical="center"/>
    </xf>
    <xf numFmtId="3" fontId="204" fillId="80" borderId="95">
      <alignment vertical="center"/>
    </xf>
    <xf numFmtId="3" fontId="204" fillId="80" borderId="95">
      <alignment vertical="center"/>
    </xf>
    <xf numFmtId="3" fontId="204" fillId="80" borderId="95" applyProtection="0">
      <alignment vertical="center"/>
    </xf>
    <xf numFmtId="3" fontId="204" fillId="107" borderId="95">
      <alignment vertical="center"/>
    </xf>
    <xf numFmtId="3" fontId="204" fillId="107" borderId="95">
      <alignment vertical="center"/>
    </xf>
    <xf numFmtId="3" fontId="204" fillId="107" borderId="95" applyProtection="0">
      <alignment vertical="center"/>
    </xf>
    <xf numFmtId="3" fontId="204" fillId="96" borderId="95">
      <alignment vertical="center"/>
    </xf>
    <xf numFmtId="3" fontId="204" fillId="96" borderId="95">
      <alignment vertical="center"/>
    </xf>
    <xf numFmtId="3" fontId="204" fillId="96" borderId="95" applyProtection="0">
      <alignment vertical="center"/>
    </xf>
    <xf numFmtId="3" fontId="204" fillId="113" borderId="95">
      <alignment vertical="center"/>
    </xf>
    <xf numFmtId="3" fontId="204" fillId="113" borderId="95" applyProtection="0">
      <alignment vertical="center"/>
    </xf>
    <xf numFmtId="0" fontId="205" fillId="113" borderId="95">
      <alignment vertical="center"/>
    </xf>
    <xf numFmtId="188" fontId="205" fillId="107" borderId="95">
      <alignment vertical="center"/>
    </xf>
    <xf numFmtId="188" fontId="206" fillId="96" borderId="95">
      <alignment vertical="center"/>
    </xf>
    <xf numFmtId="204" fontId="206" fillId="96" borderId="95">
      <alignment vertical="center"/>
    </xf>
    <xf numFmtId="201" fontId="206" fillId="96" borderId="95" applyProtection="0">
      <alignment vertical="center"/>
    </xf>
    <xf numFmtId="204" fontId="205" fillId="107" borderId="95">
      <alignment vertical="center"/>
    </xf>
    <xf numFmtId="201" fontId="205" fillId="107" borderId="95" applyProtection="0">
      <alignment vertical="center"/>
    </xf>
    <xf numFmtId="188" fontId="205" fillId="80" borderId="95">
      <alignment vertical="center"/>
    </xf>
    <xf numFmtId="204" fontId="205" fillId="80" borderId="95">
      <alignment vertical="center"/>
    </xf>
    <xf numFmtId="201" fontId="205" fillId="80" borderId="95" applyProtection="0">
      <alignment vertical="center"/>
    </xf>
    <xf numFmtId="188" fontId="205" fillId="107" borderId="95">
      <alignment vertical="center"/>
    </xf>
    <xf numFmtId="204" fontId="205" fillId="107" borderId="95">
      <alignment vertical="center"/>
    </xf>
    <xf numFmtId="201" fontId="205" fillId="107" borderId="95" applyProtection="0">
      <alignment vertical="center"/>
    </xf>
    <xf numFmtId="188" fontId="206" fillId="96" borderId="95">
      <alignment vertical="center"/>
    </xf>
    <xf numFmtId="204" fontId="206" fillId="96" borderId="95">
      <alignment vertical="center"/>
    </xf>
    <xf numFmtId="201" fontId="206" fillId="96" borderId="95" applyProtection="0">
      <alignment vertical="center"/>
    </xf>
    <xf numFmtId="0" fontId="205" fillId="113" borderId="95">
      <alignment vertical="center"/>
    </xf>
    <xf numFmtId="0" fontId="205" fillId="113" borderId="95" applyNumberFormat="0" applyProtection="0">
      <alignment vertical="center"/>
    </xf>
    <xf numFmtId="0" fontId="205" fillId="113" borderId="95">
      <alignment vertical="center"/>
    </xf>
    <xf numFmtId="189" fontId="205" fillId="107" borderId="95">
      <alignment vertical="center"/>
    </xf>
    <xf numFmtId="189" fontId="206" fillId="96" borderId="95">
      <alignment vertical="center"/>
    </xf>
    <xf numFmtId="205" fontId="206" fillId="96" borderId="95">
      <alignment vertical="center"/>
    </xf>
    <xf numFmtId="202" fontId="206" fillId="96" borderId="95" applyProtection="0">
      <alignment vertical="center"/>
    </xf>
    <xf numFmtId="205" fontId="205" fillId="107" borderId="95">
      <alignment vertical="center"/>
    </xf>
    <xf numFmtId="202" fontId="205" fillId="107" borderId="95" applyProtection="0">
      <alignment vertical="center"/>
    </xf>
    <xf numFmtId="189" fontId="205" fillId="80" borderId="95">
      <alignment vertical="center"/>
    </xf>
    <xf numFmtId="205" fontId="205" fillId="80" borderId="95">
      <alignment vertical="center"/>
    </xf>
    <xf numFmtId="202" fontId="205" fillId="80" borderId="95" applyProtection="0">
      <alignment vertical="center"/>
    </xf>
    <xf numFmtId="189" fontId="205" fillId="107" borderId="95">
      <alignment vertical="center"/>
    </xf>
    <xf numFmtId="205" fontId="205" fillId="107" borderId="95">
      <alignment vertical="center"/>
    </xf>
    <xf numFmtId="202" fontId="205" fillId="107" borderId="95" applyProtection="0">
      <alignment vertical="center"/>
    </xf>
    <xf numFmtId="189" fontId="206" fillId="96" borderId="95">
      <alignment vertical="center"/>
    </xf>
    <xf numFmtId="205" fontId="206" fillId="96" borderId="95">
      <alignment vertical="center"/>
    </xf>
    <xf numFmtId="202" fontId="206" fillId="96" borderId="95" applyProtection="0">
      <alignment vertical="center"/>
    </xf>
    <xf numFmtId="0" fontId="205" fillId="113" borderId="95">
      <alignment vertical="center"/>
    </xf>
    <xf numFmtId="0" fontId="205" fillId="113" borderId="95" applyNumberFormat="0" applyProtection="0">
      <alignment vertical="center"/>
    </xf>
    <xf numFmtId="0" fontId="205" fillId="113" borderId="95">
      <alignment vertical="center"/>
    </xf>
    <xf numFmtId="190" fontId="205" fillId="107" borderId="95">
      <alignment vertical="center"/>
    </xf>
    <xf numFmtId="190" fontId="206" fillId="96" borderId="95">
      <alignment vertical="center"/>
    </xf>
    <xf numFmtId="206" fontId="206" fillId="96" borderId="95">
      <alignment vertical="center"/>
    </xf>
    <xf numFmtId="203" fontId="206" fillId="96" borderId="95" applyProtection="0">
      <alignment vertical="center"/>
    </xf>
    <xf numFmtId="206" fontId="205" fillId="107" borderId="95">
      <alignment vertical="center"/>
    </xf>
    <xf numFmtId="203" fontId="205" fillId="107" borderId="95" applyProtection="0">
      <alignment vertical="center"/>
    </xf>
    <xf numFmtId="190" fontId="205" fillId="80" borderId="95">
      <alignment vertical="center"/>
    </xf>
    <xf numFmtId="206" fontId="205" fillId="80" borderId="95">
      <alignment vertical="center"/>
    </xf>
    <xf numFmtId="203" fontId="205" fillId="80" borderId="95" applyProtection="0">
      <alignment vertical="center"/>
    </xf>
    <xf numFmtId="190" fontId="205" fillId="107" borderId="95">
      <alignment vertical="center"/>
    </xf>
    <xf numFmtId="206" fontId="205" fillId="107" borderId="95">
      <alignment vertical="center"/>
    </xf>
    <xf numFmtId="203" fontId="205" fillId="107" borderId="95" applyProtection="0">
      <alignment vertical="center"/>
    </xf>
    <xf numFmtId="190" fontId="206" fillId="96" borderId="95">
      <alignment vertical="center"/>
    </xf>
    <xf numFmtId="206" fontId="206" fillId="96" borderId="95">
      <alignment vertical="center"/>
    </xf>
    <xf numFmtId="203" fontId="206" fillId="96" borderId="95" applyProtection="0">
      <alignment vertical="center"/>
    </xf>
    <xf numFmtId="0" fontId="205" fillId="113" borderId="95">
      <alignment vertical="center"/>
    </xf>
    <xf numFmtId="0" fontId="205" fillId="113" borderId="95" applyNumberFormat="0" applyProtection="0">
      <alignment vertical="center"/>
    </xf>
    <xf numFmtId="191" fontId="207" fillId="113" borderId="95">
      <alignment vertical="center"/>
    </xf>
    <xf numFmtId="191" fontId="207" fillId="107" borderId="95">
      <alignment vertical="center"/>
    </xf>
    <xf numFmtId="191" fontId="207" fillId="96" borderId="95">
      <alignment vertical="center"/>
    </xf>
    <xf numFmtId="191" fontId="207" fillId="96" borderId="95">
      <alignment vertical="center"/>
    </xf>
    <xf numFmtId="191" fontId="207" fillId="96" borderId="95" applyProtection="0">
      <alignment vertical="center"/>
    </xf>
    <xf numFmtId="191" fontId="207" fillId="107" borderId="95">
      <alignment vertical="center"/>
    </xf>
    <xf numFmtId="191" fontId="207" fillId="107" borderId="95" applyProtection="0">
      <alignment vertical="center"/>
    </xf>
    <xf numFmtId="191" fontId="207" fillId="80" borderId="95">
      <alignment vertical="center"/>
    </xf>
    <xf numFmtId="191" fontId="207" fillId="80" borderId="95">
      <alignment vertical="center"/>
    </xf>
    <xf numFmtId="191" fontId="207" fillId="80" borderId="95" applyProtection="0">
      <alignment vertical="center"/>
    </xf>
    <xf numFmtId="191" fontId="207" fillId="107" borderId="95">
      <alignment vertical="center"/>
    </xf>
    <xf numFmtId="191" fontId="207" fillId="107" borderId="95">
      <alignment vertical="center"/>
    </xf>
    <xf numFmtId="191" fontId="207" fillId="107" borderId="95" applyProtection="0">
      <alignment vertical="center"/>
    </xf>
    <xf numFmtId="191" fontId="207" fillId="96" borderId="95">
      <alignment vertical="center"/>
    </xf>
    <xf numFmtId="191" fontId="207" fillId="96" borderId="95">
      <alignment vertical="center"/>
    </xf>
    <xf numFmtId="191" fontId="207" fillId="96" borderId="95" applyProtection="0">
      <alignment vertical="center"/>
    </xf>
    <xf numFmtId="191" fontId="207" fillId="113" borderId="95">
      <alignment vertical="center"/>
    </xf>
    <xf numFmtId="191" fontId="207" fillId="113" borderId="95" applyProtection="0">
      <alignment vertical="center"/>
    </xf>
    <xf numFmtId="192" fontId="207" fillId="113" borderId="95">
      <alignment vertical="center"/>
    </xf>
    <xf numFmtId="192" fontId="207" fillId="107" borderId="95">
      <alignment vertical="center"/>
    </xf>
    <xf numFmtId="192" fontId="207" fillId="96" borderId="95">
      <alignment vertical="center"/>
    </xf>
    <xf numFmtId="192" fontId="207" fillId="96" borderId="95">
      <alignment vertical="center"/>
    </xf>
    <xf numFmtId="192" fontId="207" fillId="96" borderId="95" applyProtection="0">
      <alignment vertical="center"/>
    </xf>
    <xf numFmtId="192" fontId="207" fillId="107" borderId="95">
      <alignment vertical="center"/>
    </xf>
    <xf numFmtId="192" fontId="207" fillId="107" borderId="95" applyProtection="0">
      <alignment vertical="center"/>
    </xf>
    <xf numFmtId="192" fontId="207" fillId="80" borderId="95">
      <alignment vertical="center"/>
    </xf>
    <xf numFmtId="192" fontId="207" fillId="80" borderId="95">
      <alignment vertical="center"/>
    </xf>
    <xf numFmtId="192" fontId="207" fillId="80" borderId="95" applyProtection="0">
      <alignment vertical="center"/>
    </xf>
    <xf numFmtId="192" fontId="207" fillId="107" borderId="95">
      <alignment vertical="center"/>
    </xf>
    <xf numFmtId="192" fontId="207" fillId="107" borderId="95">
      <alignment vertical="center"/>
    </xf>
    <xf numFmtId="192" fontId="207" fillId="107" borderId="95" applyProtection="0">
      <alignment vertical="center"/>
    </xf>
    <xf numFmtId="192" fontId="207" fillId="96" borderId="95">
      <alignment vertical="center"/>
    </xf>
    <xf numFmtId="192" fontId="207" fillId="96" borderId="95">
      <alignment vertical="center"/>
    </xf>
    <xf numFmtId="192" fontId="207" fillId="96" borderId="95" applyProtection="0">
      <alignment vertical="center"/>
    </xf>
    <xf numFmtId="192" fontId="207" fillId="113" borderId="95">
      <alignment vertical="center"/>
    </xf>
    <xf numFmtId="192" fontId="207" fillId="113" borderId="95" applyProtection="0">
      <alignment vertical="center"/>
    </xf>
    <xf numFmtId="193" fontId="207" fillId="113" borderId="95">
      <alignment vertical="center"/>
    </xf>
    <xf numFmtId="193" fontId="207" fillId="107" borderId="95">
      <alignment vertical="center"/>
    </xf>
    <xf numFmtId="193" fontId="207" fillId="96" borderId="95">
      <alignment vertical="center"/>
    </xf>
    <xf numFmtId="193" fontId="207" fillId="96" borderId="95">
      <alignment vertical="center"/>
    </xf>
    <xf numFmtId="193" fontId="207" fillId="96" borderId="95" applyProtection="0">
      <alignment vertical="center"/>
    </xf>
    <xf numFmtId="193" fontId="207" fillId="107" borderId="95">
      <alignment vertical="center"/>
    </xf>
    <xf numFmtId="193" fontId="207" fillId="107" borderId="95" applyProtection="0">
      <alignment vertical="center"/>
    </xf>
    <xf numFmtId="193" fontId="207" fillId="80" borderId="95">
      <alignment vertical="center"/>
    </xf>
    <xf numFmtId="193" fontId="207" fillId="80" borderId="95">
      <alignment vertical="center"/>
    </xf>
    <xf numFmtId="193" fontId="207" fillId="80" borderId="95" applyProtection="0">
      <alignment vertical="center"/>
    </xf>
    <xf numFmtId="193" fontId="207" fillId="107" borderId="95">
      <alignment vertical="center"/>
    </xf>
    <xf numFmtId="193" fontId="207" fillId="107" borderId="95">
      <alignment vertical="center"/>
    </xf>
    <xf numFmtId="193" fontId="207" fillId="107" borderId="95" applyProtection="0">
      <alignment vertical="center"/>
    </xf>
    <xf numFmtId="193" fontId="207" fillId="96" borderId="95">
      <alignment vertical="center"/>
    </xf>
    <xf numFmtId="193" fontId="207" fillId="96" borderId="95">
      <alignment vertical="center"/>
    </xf>
    <xf numFmtId="193" fontId="207" fillId="96" borderId="95" applyProtection="0">
      <alignment vertical="center"/>
    </xf>
    <xf numFmtId="193" fontId="207" fillId="113" borderId="95">
      <alignment vertical="center"/>
    </xf>
    <xf numFmtId="193" fontId="207" fillId="113" borderId="95" applyProtection="0">
      <alignment vertical="center"/>
    </xf>
    <xf numFmtId="164" fontId="208" fillId="113" borderId="95">
      <alignment vertical="center"/>
    </xf>
    <xf numFmtId="164" fontId="209" fillId="107" borderId="95">
      <alignment vertical="center"/>
    </xf>
    <xf numFmtId="164" fontId="210" fillId="96" borderId="95">
      <alignment vertical="center"/>
    </xf>
    <xf numFmtId="164" fontId="210" fillId="96" borderId="95">
      <alignment vertical="center"/>
    </xf>
    <xf numFmtId="164" fontId="210" fillId="96" borderId="95" applyProtection="0">
      <alignment vertical="center"/>
    </xf>
    <xf numFmtId="164" fontId="209" fillId="107" borderId="95">
      <alignment vertical="center"/>
    </xf>
    <xf numFmtId="164" fontId="209" fillId="107" borderId="95" applyProtection="0">
      <alignment vertical="center"/>
    </xf>
    <xf numFmtId="164" fontId="208" fillId="80" borderId="95">
      <alignment vertical="center"/>
    </xf>
    <xf numFmtId="164" fontId="208" fillId="80" borderId="95">
      <alignment vertical="center"/>
    </xf>
    <xf numFmtId="164" fontId="208" fillId="80" borderId="95" applyProtection="0">
      <alignment vertical="center"/>
    </xf>
    <xf numFmtId="164" fontId="211" fillId="107" borderId="95">
      <alignment vertical="center"/>
    </xf>
    <xf numFmtId="164" fontId="211" fillId="107" borderId="95">
      <alignment vertical="center"/>
    </xf>
    <xf numFmtId="164" fontId="211" fillId="107" borderId="95" applyProtection="0">
      <alignment vertical="center"/>
    </xf>
    <xf numFmtId="164" fontId="210" fillId="96" borderId="95">
      <alignment vertical="center"/>
    </xf>
    <xf numFmtId="164" fontId="210" fillId="96" borderId="95">
      <alignment vertical="center"/>
    </xf>
    <xf numFmtId="164" fontId="210" fillId="96" borderId="95" applyProtection="0">
      <alignment vertical="center"/>
    </xf>
    <xf numFmtId="164" fontId="208" fillId="113" borderId="95">
      <alignment vertical="center"/>
    </xf>
    <xf numFmtId="164" fontId="208" fillId="113" borderId="95" applyProtection="0">
      <alignment vertical="center"/>
    </xf>
    <xf numFmtId="194" fontId="208" fillId="113" borderId="95">
      <alignment vertical="center"/>
    </xf>
    <xf numFmtId="194" fontId="209" fillId="107" borderId="95">
      <alignment vertical="center"/>
    </xf>
    <xf numFmtId="194" fontId="210" fillId="96" borderId="95">
      <alignment vertical="center"/>
    </xf>
    <xf numFmtId="194" fontId="210" fillId="96" borderId="95">
      <alignment vertical="center"/>
    </xf>
    <xf numFmtId="194" fontId="210" fillId="96" borderId="95" applyProtection="0">
      <alignment vertical="center"/>
    </xf>
    <xf numFmtId="194" fontId="209" fillId="107" borderId="95">
      <alignment vertical="center"/>
    </xf>
    <xf numFmtId="194" fontId="209" fillId="107" borderId="95" applyProtection="0">
      <alignment vertical="center"/>
    </xf>
    <xf numFmtId="194" fontId="208" fillId="80" borderId="95">
      <alignment vertical="center"/>
    </xf>
    <xf numFmtId="194" fontId="208" fillId="80" borderId="95">
      <alignment vertical="center"/>
    </xf>
    <xf numFmtId="194" fontId="208" fillId="80" borderId="95" applyProtection="0">
      <alignment vertical="center"/>
    </xf>
    <xf numFmtId="194" fontId="211" fillId="107" borderId="95">
      <alignment vertical="center"/>
    </xf>
    <xf numFmtId="194" fontId="211" fillId="107" borderId="95">
      <alignment vertical="center"/>
    </xf>
    <xf numFmtId="194" fontId="211" fillId="107" borderId="95" applyProtection="0">
      <alignment vertical="center"/>
    </xf>
    <xf numFmtId="194" fontId="210" fillId="96" borderId="95">
      <alignment vertical="center"/>
    </xf>
    <xf numFmtId="194" fontId="210" fillId="96" borderId="95">
      <alignment vertical="center"/>
    </xf>
    <xf numFmtId="194" fontId="210" fillId="96" borderId="95" applyProtection="0">
      <alignment vertical="center"/>
    </xf>
    <xf numFmtId="194" fontId="208" fillId="113" borderId="95">
      <alignment vertical="center"/>
    </xf>
    <xf numFmtId="194" fontId="208" fillId="113" borderId="95" applyProtection="0">
      <alignment vertical="center"/>
    </xf>
    <xf numFmtId="180" fontId="208" fillId="113" borderId="95">
      <alignment vertical="center"/>
    </xf>
    <xf numFmtId="180" fontId="209" fillId="107" borderId="95">
      <alignment vertical="center"/>
    </xf>
    <xf numFmtId="180" fontId="210" fillId="96" borderId="95">
      <alignment vertical="center"/>
    </xf>
    <xf numFmtId="180" fontId="210" fillId="96" borderId="95">
      <alignment vertical="center"/>
    </xf>
    <xf numFmtId="180" fontId="210" fillId="96" borderId="95" applyProtection="0">
      <alignment vertical="center"/>
    </xf>
    <xf numFmtId="180" fontId="209" fillId="107" borderId="95">
      <alignment vertical="center"/>
    </xf>
    <xf numFmtId="180" fontId="209" fillId="107" borderId="95" applyProtection="0">
      <alignment vertical="center"/>
    </xf>
    <xf numFmtId="180" fontId="208" fillId="80" borderId="95">
      <alignment vertical="center"/>
    </xf>
    <xf numFmtId="180" fontId="208" fillId="80" borderId="95">
      <alignment vertical="center"/>
    </xf>
    <xf numFmtId="180" fontId="208" fillId="80" borderId="95" applyProtection="0">
      <alignment vertical="center"/>
    </xf>
    <xf numFmtId="180" fontId="211" fillId="107" borderId="95">
      <alignment vertical="center"/>
    </xf>
    <xf numFmtId="180" fontId="211" fillId="107" borderId="95">
      <alignment vertical="center"/>
    </xf>
    <xf numFmtId="180" fontId="211" fillId="107" borderId="95" applyProtection="0">
      <alignment vertical="center"/>
    </xf>
    <xf numFmtId="180" fontId="210" fillId="96" borderId="95">
      <alignment vertical="center"/>
    </xf>
    <xf numFmtId="180" fontId="210" fillId="96" borderId="95">
      <alignment vertical="center"/>
    </xf>
    <xf numFmtId="180" fontId="210" fillId="96" borderId="95" applyProtection="0">
      <alignment vertical="center"/>
    </xf>
    <xf numFmtId="180" fontId="208" fillId="113" borderId="95">
      <alignment vertical="center"/>
    </xf>
    <xf numFmtId="180" fontId="208" fillId="113" borderId="95" applyProtection="0">
      <alignment vertical="center"/>
    </xf>
    <xf numFmtId="0" fontId="212" fillId="113" borderId="95">
      <alignment vertical="center"/>
    </xf>
    <xf numFmtId="0" fontId="213" fillId="107" borderId="95">
      <alignment vertical="center"/>
    </xf>
    <xf numFmtId="0" fontId="213" fillId="96" borderId="95">
      <alignment vertical="center"/>
    </xf>
    <xf numFmtId="0" fontId="213" fillId="96" borderId="95">
      <alignment vertical="center"/>
    </xf>
    <xf numFmtId="0" fontId="213" fillId="96" borderId="95" applyNumberFormat="0" applyProtection="0">
      <alignment vertical="center"/>
    </xf>
    <xf numFmtId="0" fontId="213" fillId="107" borderId="95">
      <alignment vertical="center"/>
    </xf>
    <xf numFmtId="0" fontId="213" fillId="107" borderId="95" applyNumberFormat="0" applyProtection="0">
      <alignment vertical="center"/>
    </xf>
    <xf numFmtId="0" fontId="213" fillId="80" borderId="95">
      <alignment vertical="center"/>
    </xf>
    <xf numFmtId="0" fontId="213" fillId="80" borderId="95">
      <alignment vertical="center"/>
    </xf>
    <xf numFmtId="0" fontId="213" fillId="80" borderId="95" applyNumberFormat="0" applyProtection="0">
      <alignment vertical="center"/>
    </xf>
    <xf numFmtId="0" fontId="213" fillId="107" borderId="95">
      <alignment vertical="center"/>
    </xf>
    <xf numFmtId="0" fontId="213" fillId="107" borderId="95">
      <alignment vertical="center"/>
    </xf>
    <xf numFmtId="0" fontId="213" fillId="107" borderId="95" applyNumberFormat="0" applyProtection="0">
      <alignment vertical="center"/>
    </xf>
    <xf numFmtId="0" fontId="213" fillId="96" borderId="95">
      <alignment vertical="center"/>
    </xf>
    <xf numFmtId="0" fontId="213" fillId="96" borderId="95">
      <alignment vertical="center"/>
    </xf>
    <xf numFmtId="0" fontId="213" fillId="96" borderId="95" applyNumberFormat="0" applyProtection="0">
      <alignment vertical="center"/>
    </xf>
    <xf numFmtId="0" fontId="212" fillId="113" borderId="95">
      <alignment vertical="center"/>
    </xf>
    <xf numFmtId="0" fontId="212" fillId="113" borderId="95" applyNumberFormat="0" applyProtection="0">
      <alignment vertical="center"/>
    </xf>
    <xf numFmtId="0" fontId="212" fillId="113" borderId="95">
      <alignment horizontal="left" vertical="center"/>
    </xf>
    <xf numFmtId="0" fontId="212" fillId="107" borderId="95">
      <alignment horizontal="left" vertical="center"/>
    </xf>
    <xf numFmtId="0" fontId="212" fillId="96" borderId="95">
      <alignment horizontal="left" vertical="center"/>
    </xf>
    <xf numFmtId="0" fontId="212" fillId="96" borderId="95">
      <alignment horizontal="left" vertical="center"/>
    </xf>
    <xf numFmtId="0" fontId="212" fillId="96" borderId="95" applyNumberFormat="0" applyProtection="0">
      <alignment horizontal="left" vertical="center"/>
    </xf>
    <xf numFmtId="0" fontId="212" fillId="107" borderId="95">
      <alignment horizontal="left" vertical="center"/>
    </xf>
    <xf numFmtId="0" fontId="212" fillId="107" borderId="95" applyNumberFormat="0" applyProtection="0">
      <alignment horizontal="left" vertical="center"/>
    </xf>
    <xf numFmtId="0" fontId="212" fillId="80" borderId="95">
      <alignment horizontal="left" vertical="center"/>
    </xf>
    <xf numFmtId="0" fontId="212" fillId="80" borderId="95">
      <alignment horizontal="left" vertical="center"/>
    </xf>
    <xf numFmtId="0" fontId="212" fillId="80" borderId="95" applyNumberFormat="0" applyProtection="0">
      <alignment horizontal="left" vertical="center"/>
    </xf>
    <xf numFmtId="0" fontId="212" fillId="107" borderId="95">
      <alignment horizontal="left" vertical="center"/>
    </xf>
    <xf numFmtId="0" fontId="212" fillId="107" borderId="95">
      <alignment horizontal="left" vertical="center"/>
    </xf>
    <xf numFmtId="0" fontId="212" fillId="107" borderId="95" applyNumberFormat="0" applyProtection="0">
      <alignment horizontal="left" vertical="center"/>
    </xf>
    <xf numFmtId="0" fontId="212" fillId="96" borderId="95">
      <alignment horizontal="left" vertical="center"/>
    </xf>
    <xf numFmtId="0" fontId="212" fillId="96" borderId="95">
      <alignment horizontal="left" vertical="center"/>
    </xf>
    <xf numFmtId="0" fontId="212" fillId="96" borderId="95" applyNumberFormat="0" applyProtection="0">
      <alignment horizontal="left" vertical="center"/>
    </xf>
    <xf numFmtId="0" fontId="212" fillId="113" borderId="95">
      <alignment horizontal="left" vertical="center"/>
    </xf>
    <xf numFmtId="0" fontId="212" fillId="113" borderId="95" applyNumberFormat="0" applyProtection="0">
      <alignment horizontal="left" vertical="center"/>
    </xf>
    <xf numFmtId="169" fontId="214" fillId="124" borderId="95">
      <alignment vertical="center"/>
    </xf>
    <xf numFmtId="169" fontId="214" fillId="87" borderId="95">
      <alignment vertical="center"/>
    </xf>
    <xf numFmtId="169" fontId="214" fillId="87" borderId="95">
      <alignment vertical="center"/>
    </xf>
    <xf numFmtId="169" fontId="214" fillId="87" borderId="95">
      <alignment vertical="center"/>
    </xf>
    <xf numFmtId="169" fontId="214" fillId="87" borderId="95" applyProtection="0">
      <alignment vertical="center"/>
    </xf>
    <xf numFmtId="169" fontId="214" fillId="93" borderId="95">
      <alignment vertical="center"/>
    </xf>
    <xf numFmtId="169" fontId="214" fillId="93" borderId="95">
      <alignment vertical="center"/>
    </xf>
    <xf numFmtId="169" fontId="214" fillId="93" borderId="95" applyProtection="0">
      <alignment vertical="center"/>
    </xf>
    <xf numFmtId="169" fontId="214" fillId="87" borderId="95">
      <alignment vertical="center"/>
    </xf>
    <xf numFmtId="169" fontId="214" fillId="87" borderId="95" applyProtection="0">
      <alignment vertical="center"/>
    </xf>
    <xf numFmtId="169" fontId="214" fillId="87" borderId="95">
      <alignment vertical="center"/>
    </xf>
    <xf numFmtId="169" fontId="214" fillId="124" borderId="95">
      <alignment vertical="center"/>
    </xf>
    <xf numFmtId="169" fontId="214" fillId="124" borderId="95">
      <alignment vertical="center"/>
    </xf>
    <xf numFmtId="169" fontId="214" fillId="124" borderId="95" applyProtection="0">
      <alignment vertical="center"/>
    </xf>
    <xf numFmtId="169" fontId="214" fillId="87" borderId="95">
      <alignment vertical="center"/>
    </xf>
    <xf numFmtId="169" fontId="214" fillId="87" borderId="95" applyProtection="0">
      <alignment vertical="center"/>
    </xf>
    <xf numFmtId="169" fontId="214" fillId="112" borderId="95">
      <alignment vertical="center"/>
    </xf>
    <xf numFmtId="169" fontId="214" fillId="112" borderId="95">
      <alignment vertical="center"/>
    </xf>
    <xf numFmtId="169" fontId="214" fillId="112" borderId="95" applyProtection="0">
      <alignment vertical="center"/>
    </xf>
    <xf numFmtId="169" fontId="214" fillId="93" borderId="95">
      <alignment vertical="center"/>
    </xf>
    <xf numFmtId="169" fontId="214" fillId="93" borderId="95">
      <alignment vertical="center"/>
    </xf>
    <xf numFmtId="169" fontId="214" fillId="93" borderId="95" applyProtection="0">
      <alignment vertical="center"/>
    </xf>
    <xf numFmtId="169" fontId="214" fillId="124" borderId="95">
      <alignment vertical="center"/>
    </xf>
    <xf numFmtId="169" fontId="214" fillId="124" borderId="95" applyProtection="0">
      <alignment vertical="center"/>
    </xf>
    <xf numFmtId="4" fontId="214" fillId="87" borderId="95">
      <alignment vertical="center"/>
    </xf>
    <xf numFmtId="4" fontId="214" fillId="87" borderId="95">
      <alignment vertical="center"/>
    </xf>
    <xf numFmtId="4" fontId="214" fillId="93" borderId="95">
      <alignment vertical="center"/>
    </xf>
    <xf numFmtId="4" fontId="214" fillId="93" borderId="95">
      <alignment vertical="center"/>
    </xf>
    <xf numFmtId="4" fontId="214" fillId="93" borderId="95" applyProtection="0">
      <alignment vertical="center"/>
    </xf>
    <xf numFmtId="4" fontId="214" fillId="87" borderId="95">
      <alignment vertical="center"/>
    </xf>
    <xf numFmtId="4" fontId="214" fillId="87" borderId="95" applyProtection="0">
      <alignment vertical="center"/>
    </xf>
    <xf numFmtId="4" fontId="214" fillId="87" borderId="95">
      <alignment vertical="center"/>
    </xf>
    <xf numFmtId="4" fontId="214" fillId="87" borderId="95">
      <alignment vertical="center"/>
    </xf>
    <xf numFmtId="4" fontId="214" fillId="87" borderId="95" applyProtection="0">
      <alignment vertical="center"/>
    </xf>
    <xf numFmtId="4" fontId="214" fillId="112" borderId="95">
      <alignment vertical="center"/>
    </xf>
    <xf numFmtId="4" fontId="214" fillId="112" borderId="95">
      <alignment vertical="center"/>
    </xf>
    <xf numFmtId="4" fontId="214" fillId="112" borderId="95" applyProtection="0">
      <alignment vertical="center"/>
    </xf>
    <xf numFmtId="4" fontId="214" fillId="93" borderId="95">
      <alignment vertical="center"/>
    </xf>
    <xf numFmtId="4" fontId="214" fillId="93" borderId="95">
      <alignment vertical="center"/>
    </xf>
    <xf numFmtId="4" fontId="214" fillId="93" borderId="95" applyProtection="0">
      <alignment vertical="center"/>
    </xf>
    <xf numFmtId="4" fontId="214" fillId="87" borderId="95">
      <alignment vertical="center"/>
    </xf>
    <xf numFmtId="4" fontId="214" fillId="87" borderId="95" applyProtection="0">
      <alignment vertical="center"/>
    </xf>
    <xf numFmtId="170" fontId="214" fillId="87" borderId="95">
      <alignment vertical="center"/>
    </xf>
    <xf numFmtId="170" fontId="214" fillId="87" borderId="95">
      <alignment vertical="center"/>
    </xf>
    <xf numFmtId="170" fontId="214" fillId="93" borderId="95">
      <alignment vertical="center"/>
    </xf>
    <xf numFmtId="170" fontId="214" fillId="93" borderId="95">
      <alignment vertical="center"/>
    </xf>
    <xf numFmtId="170" fontId="214" fillId="93" borderId="95" applyProtection="0">
      <alignment vertical="center"/>
    </xf>
    <xf numFmtId="170" fontId="214" fillId="87" borderId="95">
      <alignment vertical="center"/>
    </xf>
    <xf numFmtId="170" fontId="214" fillId="87" borderId="95" applyProtection="0">
      <alignment vertical="center"/>
    </xf>
    <xf numFmtId="170" fontId="214" fillId="87" borderId="95">
      <alignment vertical="center"/>
    </xf>
    <xf numFmtId="170" fontId="214" fillId="87" borderId="95">
      <alignment vertical="center"/>
    </xf>
    <xf numFmtId="170" fontId="214" fillId="87" borderId="95" applyProtection="0">
      <alignment vertical="center"/>
    </xf>
    <xf numFmtId="170" fontId="214" fillId="112" borderId="95">
      <alignment vertical="center"/>
    </xf>
    <xf numFmtId="170" fontId="214" fillId="112" borderId="95">
      <alignment vertical="center"/>
    </xf>
    <xf numFmtId="170" fontId="214" fillId="112" borderId="95" applyProtection="0">
      <alignment vertical="center"/>
    </xf>
    <xf numFmtId="170" fontId="214" fillId="93" borderId="95">
      <alignment vertical="center"/>
    </xf>
    <xf numFmtId="170" fontId="214" fillId="93" borderId="95">
      <alignment vertical="center"/>
    </xf>
    <xf numFmtId="170" fontId="214" fillId="93" borderId="95" applyProtection="0">
      <alignment vertical="center"/>
    </xf>
    <xf numFmtId="170" fontId="214" fillId="87" borderId="95">
      <alignment vertical="center"/>
    </xf>
    <xf numFmtId="170" fontId="214" fillId="87" borderId="95" applyProtection="0">
      <alignment vertical="center"/>
    </xf>
    <xf numFmtId="187" fontId="214" fillId="87" borderId="95">
      <alignment vertical="center"/>
    </xf>
    <xf numFmtId="187" fontId="214" fillId="87" borderId="95">
      <alignment vertical="center"/>
    </xf>
    <xf numFmtId="187" fontId="214" fillId="93" borderId="95">
      <alignment vertical="center"/>
    </xf>
    <xf numFmtId="187" fontId="214" fillId="93" borderId="95">
      <alignment vertical="center"/>
    </xf>
    <xf numFmtId="187" fontId="214" fillId="93" borderId="95" applyProtection="0">
      <alignment vertical="center"/>
    </xf>
    <xf numFmtId="187" fontId="214" fillId="87" borderId="95">
      <alignment vertical="center"/>
    </xf>
    <xf numFmtId="187" fontId="214" fillId="87" borderId="95" applyProtection="0">
      <alignment vertical="center"/>
    </xf>
    <xf numFmtId="187" fontId="214" fillId="87" borderId="95">
      <alignment vertical="center"/>
    </xf>
    <xf numFmtId="187" fontId="214" fillId="87" borderId="95">
      <alignment vertical="center"/>
    </xf>
    <xf numFmtId="187" fontId="214" fillId="87" borderId="95" applyProtection="0">
      <alignment vertical="center"/>
    </xf>
    <xf numFmtId="187" fontId="214" fillId="112" borderId="95">
      <alignment vertical="center"/>
    </xf>
    <xf numFmtId="187" fontId="214" fillId="112" borderId="95">
      <alignment vertical="center"/>
    </xf>
    <xf numFmtId="187" fontId="214" fillId="112" borderId="95" applyProtection="0">
      <alignment vertical="center"/>
    </xf>
    <xf numFmtId="187" fontId="214" fillId="93" borderId="95">
      <alignment vertical="center"/>
    </xf>
    <xf numFmtId="187" fontId="214" fillId="93" borderId="95">
      <alignment vertical="center"/>
    </xf>
    <xf numFmtId="187" fontId="214" fillId="93" borderId="95" applyProtection="0">
      <alignment vertical="center"/>
    </xf>
    <xf numFmtId="187" fontId="214" fillId="87" borderId="95">
      <alignment vertical="center"/>
    </xf>
    <xf numFmtId="187" fontId="214" fillId="87" borderId="95" applyProtection="0">
      <alignment vertical="center"/>
    </xf>
    <xf numFmtId="3" fontId="214" fillId="87" borderId="95">
      <alignment vertical="center"/>
    </xf>
    <xf numFmtId="3" fontId="214" fillId="87" borderId="95">
      <alignment vertical="center"/>
    </xf>
    <xf numFmtId="3" fontId="214" fillId="93" borderId="95">
      <alignment vertical="center"/>
    </xf>
    <xf numFmtId="3" fontId="214" fillId="93" borderId="95">
      <alignment vertical="center"/>
    </xf>
    <xf numFmtId="3" fontId="214" fillId="93" borderId="95" applyProtection="0">
      <alignment vertical="center"/>
    </xf>
    <xf numFmtId="3" fontId="214" fillId="87" borderId="95">
      <alignment vertical="center"/>
    </xf>
    <xf numFmtId="3" fontId="214" fillId="87" borderId="95" applyProtection="0">
      <alignment vertical="center"/>
    </xf>
    <xf numFmtId="3" fontId="214" fillId="87" borderId="95">
      <alignment vertical="center"/>
    </xf>
    <xf numFmtId="3" fontId="214" fillId="87" borderId="95">
      <alignment vertical="center"/>
    </xf>
    <xf numFmtId="3" fontId="214" fillId="87" borderId="95" applyProtection="0">
      <alignment vertical="center"/>
    </xf>
    <xf numFmtId="3" fontId="214" fillId="112" borderId="95">
      <alignment vertical="center"/>
    </xf>
    <xf numFmtId="3" fontId="214" fillId="112" borderId="95">
      <alignment vertical="center"/>
    </xf>
    <xf numFmtId="3" fontId="214" fillId="112" borderId="95" applyProtection="0">
      <alignment vertical="center"/>
    </xf>
    <xf numFmtId="3" fontId="214" fillId="93" borderId="95">
      <alignment vertical="center"/>
    </xf>
    <xf numFmtId="3" fontId="214" fillId="93" borderId="95">
      <alignment vertical="center"/>
    </xf>
    <xf numFmtId="3" fontId="214" fillId="93" borderId="95" applyProtection="0">
      <alignment vertical="center"/>
    </xf>
    <xf numFmtId="3" fontId="214" fillId="87" borderId="95">
      <alignment vertical="center"/>
    </xf>
    <xf numFmtId="3" fontId="214" fillId="87" borderId="95" applyProtection="0">
      <alignment vertical="center"/>
    </xf>
    <xf numFmtId="0" fontId="215" fillId="87" borderId="95">
      <alignment vertical="center"/>
    </xf>
    <xf numFmtId="188" fontId="215" fillId="87" borderId="95">
      <alignment vertical="center"/>
    </xf>
    <xf numFmtId="188" fontId="216" fillId="93" borderId="95">
      <alignment vertical="center"/>
    </xf>
    <xf numFmtId="204" fontId="216" fillId="93" borderId="95">
      <alignment vertical="center"/>
    </xf>
    <xf numFmtId="201" fontId="216" fillId="93" borderId="95" applyProtection="0">
      <alignment vertical="center"/>
    </xf>
    <xf numFmtId="204" fontId="215" fillId="87" borderId="95">
      <alignment vertical="center"/>
    </xf>
    <xf numFmtId="201" fontId="215" fillId="87" borderId="95" applyProtection="0">
      <alignment vertical="center"/>
    </xf>
    <xf numFmtId="188" fontId="215" fillId="87" borderId="95">
      <alignment vertical="center"/>
    </xf>
    <xf numFmtId="204" fontId="215" fillId="87" borderId="95">
      <alignment vertical="center"/>
    </xf>
    <xf numFmtId="201" fontId="215" fillId="87" borderId="95" applyProtection="0">
      <alignment vertical="center"/>
    </xf>
    <xf numFmtId="188" fontId="215" fillId="112" borderId="95">
      <alignment vertical="center"/>
    </xf>
    <xf numFmtId="204" fontId="215" fillId="112" borderId="95">
      <alignment vertical="center"/>
    </xf>
    <xf numFmtId="201" fontId="215" fillId="112" borderId="95" applyProtection="0">
      <alignment vertical="center"/>
    </xf>
    <xf numFmtId="188" fontId="216" fillId="93" borderId="95">
      <alignment vertical="center"/>
    </xf>
    <xf numFmtId="204" fontId="216" fillId="93" borderId="95">
      <alignment vertical="center"/>
    </xf>
    <xf numFmtId="201" fontId="216" fillId="93" borderId="95" applyProtection="0">
      <alignment vertical="center"/>
    </xf>
    <xf numFmtId="0" fontId="215" fillId="87" borderId="95">
      <alignment vertical="center"/>
    </xf>
    <xf numFmtId="0" fontId="215" fillId="87" borderId="95" applyNumberFormat="0" applyProtection="0">
      <alignment vertical="center"/>
    </xf>
    <xf numFmtId="0" fontId="215" fillId="87" borderId="95">
      <alignment vertical="center"/>
    </xf>
    <xf numFmtId="189" fontId="215" fillId="87" borderId="95">
      <alignment vertical="center"/>
    </xf>
    <xf numFmtId="189" fontId="216" fillId="93" borderId="95">
      <alignment vertical="center"/>
    </xf>
    <xf numFmtId="205" fontId="216" fillId="93" borderId="95">
      <alignment vertical="center"/>
    </xf>
    <xf numFmtId="202" fontId="216" fillId="93" borderId="95" applyProtection="0">
      <alignment vertical="center"/>
    </xf>
    <xf numFmtId="205" fontId="215" fillId="87" borderId="95">
      <alignment vertical="center"/>
    </xf>
    <xf numFmtId="202" fontId="215" fillId="87" borderId="95" applyProtection="0">
      <alignment vertical="center"/>
    </xf>
    <xf numFmtId="189" fontId="215" fillId="87" borderId="95">
      <alignment vertical="center"/>
    </xf>
    <xf numFmtId="205" fontId="215" fillId="87" borderId="95">
      <alignment vertical="center"/>
    </xf>
    <xf numFmtId="202" fontId="215" fillId="87" borderId="95" applyProtection="0">
      <alignment vertical="center"/>
    </xf>
    <xf numFmtId="189" fontId="215" fillId="112" borderId="95">
      <alignment vertical="center"/>
    </xf>
    <xf numFmtId="205" fontId="215" fillId="112" borderId="95">
      <alignment vertical="center"/>
    </xf>
    <xf numFmtId="202" fontId="215" fillId="112" borderId="95" applyProtection="0">
      <alignment vertical="center"/>
    </xf>
    <xf numFmtId="189" fontId="216" fillId="93" borderId="95">
      <alignment vertical="center"/>
    </xf>
    <xf numFmtId="205" fontId="216" fillId="93" borderId="95">
      <alignment vertical="center"/>
    </xf>
    <xf numFmtId="202" fontId="216" fillId="93" borderId="95" applyProtection="0">
      <alignment vertical="center"/>
    </xf>
    <xf numFmtId="0" fontId="215" fillId="87" borderId="95">
      <alignment vertical="center"/>
    </xf>
    <xf numFmtId="0" fontId="215" fillId="87" borderId="95" applyNumberFormat="0" applyProtection="0">
      <alignment vertical="center"/>
    </xf>
    <xf numFmtId="0" fontId="215" fillId="87" borderId="95">
      <alignment vertical="center"/>
    </xf>
    <xf numFmtId="190" fontId="215" fillId="87" borderId="95">
      <alignment vertical="center"/>
    </xf>
    <xf numFmtId="190" fontId="216" fillId="93" borderId="95">
      <alignment vertical="center"/>
    </xf>
    <xf numFmtId="206" fontId="216" fillId="93" borderId="95">
      <alignment vertical="center"/>
    </xf>
    <xf numFmtId="203" fontId="216" fillId="93" borderId="95" applyProtection="0">
      <alignment vertical="center"/>
    </xf>
    <xf numFmtId="206" fontId="215" fillId="87" borderId="95">
      <alignment vertical="center"/>
    </xf>
    <xf numFmtId="203" fontId="215" fillId="87" borderId="95" applyProtection="0">
      <alignment vertical="center"/>
    </xf>
    <xf numFmtId="190" fontId="215" fillId="87" borderId="95">
      <alignment vertical="center"/>
    </xf>
    <xf numFmtId="206" fontId="215" fillId="87" borderId="95">
      <alignment vertical="center"/>
    </xf>
    <xf numFmtId="203" fontId="215" fillId="87" borderId="95" applyProtection="0">
      <alignment vertical="center"/>
    </xf>
    <xf numFmtId="190" fontId="215" fillId="112" borderId="95">
      <alignment vertical="center"/>
    </xf>
    <xf numFmtId="206" fontId="215" fillId="112" borderId="95">
      <alignment vertical="center"/>
    </xf>
    <xf numFmtId="203" fontId="215" fillId="112" borderId="95" applyProtection="0">
      <alignment vertical="center"/>
    </xf>
    <xf numFmtId="190" fontId="216" fillId="93" borderId="95">
      <alignment vertical="center"/>
    </xf>
    <xf numFmtId="206" fontId="216" fillId="93" borderId="95">
      <alignment vertical="center"/>
    </xf>
    <xf numFmtId="203" fontId="216" fillId="93" borderId="95" applyProtection="0">
      <alignment vertical="center"/>
    </xf>
    <xf numFmtId="0" fontId="215" fillId="87" borderId="95">
      <alignment vertical="center"/>
    </xf>
    <xf numFmtId="0" fontId="215" fillId="87" borderId="95" applyNumberFormat="0" applyProtection="0">
      <alignment vertical="center"/>
    </xf>
    <xf numFmtId="191" fontId="217" fillId="87" borderId="95">
      <alignment vertical="center"/>
    </xf>
    <xf numFmtId="191" fontId="217" fillId="87" borderId="95">
      <alignment vertical="center"/>
    </xf>
    <xf numFmtId="191" fontId="217" fillId="93" borderId="95">
      <alignment vertical="center"/>
    </xf>
    <xf numFmtId="191" fontId="217" fillId="93" borderId="95">
      <alignment vertical="center"/>
    </xf>
    <xf numFmtId="191" fontId="217" fillId="93" borderId="95" applyProtection="0">
      <alignment vertical="center"/>
    </xf>
    <xf numFmtId="191" fontId="217" fillId="87" borderId="95">
      <alignment vertical="center"/>
    </xf>
    <xf numFmtId="191" fontId="217" fillId="87" borderId="95" applyProtection="0">
      <alignment vertical="center"/>
    </xf>
    <xf numFmtId="191" fontId="217" fillId="87" borderId="95">
      <alignment vertical="center"/>
    </xf>
    <xf numFmtId="191" fontId="217" fillId="87" borderId="95">
      <alignment vertical="center"/>
    </xf>
    <xf numFmtId="191" fontId="217" fillId="87" borderId="95" applyProtection="0">
      <alignment vertical="center"/>
    </xf>
    <xf numFmtId="191" fontId="217" fillId="112" borderId="95">
      <alignment vertical="center"/>
    </xf>
    <xf numFmtId="191" fontId="217" fillId="112" borderId="95">
      <alignment vertical="center"/>
    </xf>
    <xf numFmtId="191" fontId="217" fillId="112" borderId="95" applyProtection="0">
      <alignment vertical="center"/>
    </xf>
    <xf numFmtId="191" fontId="217" fillId="93" borderId="95">
      <alignment vertical="center"/>
    </xf>
    <xf numFmtId="191" fontId="217" fillId="93" borderId="95">
      <alignment vertical="center"/>
    </xf>
    <xf numFmtId="191" fontId="217" fillId="93" borderId="95" applyProtection="0">
      <alignment vertical="center"/>
    </xf>
    <xf numFmtId="191" fontId="217" fillId="87" borderId="95">
      <alignment vertical="center"/>
    </xf>
    <xf numFmtId="191" fontId="217" fillId="87" borderId="95" applyProtection="0">
      <alignment vertical="center"/>
    </xf>
    <xf numFmtId="192" fontId="217" fillId="87" borderId="95">
      <alignment vertical="center"/>
    </xf>
    <xf numFmtId="192" fontId="217" fillId="87" borderId="95">
      <alignment vertical="center"/>
    </xf>
    <xf numFmtId="192" fontId="217" fillId="93" borderId="95">
      <alignment vertical="center"/>
    </xf>
    <xf numFmtId="192" fontId="217" fillId="93" borderId="95">
      <alignment vertical="center"/>
    </xf>
    <xf numFmtId="192" fontId="217" fillId="93" borderId="95" applyProtection="0">
      <alignment vertical="center"/>
    </xf>
    <xf numFmtId="192" fontId="217" fillId="87" borderId="95">
      <alignment vertical="center"/>
    </xf>
    <xf numFmtId="192" fontId="217" fillId="87" borderId="95" applyProtection="0">
      <alignment vertical="center"/>
    </xf>
    <xf numFmtId="192" fontId="217" fillId="87" borderId="95">
      <alignment vertical="center"/>
    </xf>
    <xf numFmtId="192" fontId="217" fillId="87" borderId="95">
      <alignment vertical="center"/>
    </xf>
    <xf numFmtId="192" fontId="217" fillId="87" borderId="95" applyProtection="0">
      <alignment vertical="center"/>
    </xf>
    <xf numFmtId="192" fontId="217" fillId="112" borderId="95">
      <alignment vertical="center"/>
    </xf>
    <xf numFmtId="192" fontId="217" fillId="112" borderId="95">
      <alignment vertical="center"/>
    </xf>
    <xf numFmtId="192" fontId="217" fillId="112" borderId="95" applyProtection="0">
      <alignment vertical="center"/>
    </xf>
    <xf numFmtId="192" fontId="217" fillId="93" borderId="95">
      <alignment vertical="center"/>
    </xf>
    <xf numFmtId="192" fontId="217" fillId="93" borderId="95">
      <alignment vertical="center"/>
    </xf>
    <xf numFmtId="192" fontId="217" fillId="93" borderId="95" applyProtection="0">
      <alignment vertical="center"/>
    </xf>
    <xf numFmtId="192" fontId="217" fillId="87" borderId="95">
      <alignment vertical="center"/>
    </xf>
    <xf numFmtId="192" fontId="217" fillId="87" borderId="95" applyProtection="0">
      <alignment vertical="center"/>
    </xf>
    <xf numFmtId="193" fontId="217" fillId="87" borderId="95">
      <alignment vertical="center"/>
    </xf>
    <xf numFmtId="193" fontId="217" fillId="87" borderId="95">
      <alignment vertical="center"/>
    </xf>
    <xf numFmtId="193" fontId="217" fillId="93" borderId="95">
      <alignment vertical="center"/>
    </xf>
    <xf numFmtId="193" fontId="217" fillId="93" borderId="95">
      <alignment vertical="center"/>
    </xf>
    <xf numFmtId="193" fontId="217" fillId="93" borderId="95" applyProtection="0">
      <alignment vertical="center"/>
    </xf>
    <xf numFmtId="193" fontId="217" fillId="87" borderId="95">
      <alignment vertical="center"/>
    </xf>
    <xf numFmtId="193" fontId="217" fillId="87" borderId="95" applyProtection="0">
      <alignment vertical="center"/>
    </xf>
    <xf numFmtId="193" fontId="217" fillId="87" borderId="95">
      <alignment vertical="center"/>
    </xf>
    <xf numFmtId="193" fontId="217" fillId="87" borderId="95">
      <alignment vertical="center"/>
    </xf>
    <xf numFmtId="193" fontId="217" fillId="87" borderId="95" applyProtection="0">
      <alignment vertical="center"/>
    </xf>
    <xf numFmtId="193" fontId="217" fillId="112" borderId="95">
      <alignment vertical="center"/>
    </xf>
    <xf numFmtId="193" fontId="217" fillId="112" borderId="95">
      <alignment vertical="center"/>
    </xf>
    <xf numFmtId="193" fontId="217" fillId="112" borderId="95" applyProtection="0">
      <alignment vertical="center"/>
    </xf>
    <xf numFmtId="193" fontId="217" fillId="93" borderId="95">
      <alignment vertical="center"/>
    </xf>
    <xf numFmtId="193" fontId="217" fillId="93" borderId="95">
      <alignment vertical="center"/>
    </xf>
    <xf numFmtId="193" fontId="217" fillId="93" borderId="95" applyProtection="0">
      <alignment vertical="center"/>
    </xf>
    <xf numFmtId="193" fontId="217" fillId="87" borderId="95">
      <alignment vertical="center"/>
    </xf>
    <xf numFmtId="193" fontId="217" fillId="87" borderId="95" applyProtection="0">
      <alignment vertical="center"/>
    </xf>
    <xf numFmtId="164" fontId="218" fillId="87" borderId="95">
      <alignment vertical="center"/>
    </xf>
    <xf numFmtId="164" fontId="219" fillId="87" borderId="95">
      <alignment vertical="center"/>
    </xf>
    <xf numFmtId="164" fontId="221" fillId="93" borderId="95">
      <alignment vertical="center"/>
    </xf>
    <xf numFmtId="164" fontId="221" fillId="93" borderId="95">
      <alignment vertical="center"/>
    </xf>
    <xf numFmtId="164" fontId="221" fillId="93" borderId="95" applyProtection="0">
      <alignment vertical="center"/>
    </xf>
    <xf numFmtId="164" fontId="219" fillId="87" borderId="95">
      <alignment vertical="center"/>
    </xf>
    <xf numFmtId="164" fontId="219" fillId="87" borderId="95" applyProtection="0">
      <alignment vertical="center"/>
    </xf>
    <xf numFmtId="164" fontId="218" fillId="87" borderId="95">
      <alignment vertical="center"/>
    </xf>
    <xf numFmtId="164" fontId="218" fillId="87" borderId="95">
      <alignment vertical="center"/>
    </xf>
    <xf numFmtId="164" fontId="218" fillId="87" borderId="95" applyProtection="0">
      <alignment vertical="center"/>
    </xf>
    <xf numFmtId="164" fontId="220" fillId="112" borderId="95">
      <alignment vertical="center"/>
    </xf>
    <xf numFmtId="164" fontId="220" fillId="112" borderId="95">
      <alignment vertical="center"/>
    </xf>
    <xf numFmtId="164" fontId="220" fillId="112" borderId="95" applyProtection="0">
      <alignment vertical="center"/>
    </xf>
    <xf numFmtId="164" fontId="221" fillId="93" borderId="95">
      <alignment vertical="center"/>
    </xf>
    <xf numFmtId="164" fontId="221" fillId="93" borderId="95">
      <alignment vertical="center"/>
    </xf>
    <xf numFmtId="164" fontId="221" fillId="93" borderId="95" applyProtection="0">
      <alignment vertical="center"/>
    </xf>
    <xf numFmtId="164" fontId="218" fillId="87" borderId="95">
      <alignment vertical="center"/>
    </xf>
    <xf numFmtId="164" fontId="218" fillId="87" borderId="95" applyProtection="0">
      <alignment vertical="center"/>
    </xf>
    <xf numFmtId="194" fontId="218" fillId="87" borderId="95">
      <alignment vertical="center"/>
    </xf>
    <xf numFmtId="194" fontId="219" fillId="87" borderId="95">
      <alignment vertical="center"/>
    </xf>
    <xf numFmtId="194" fontId="221" fillId="93" borderId="95">
      <alignment vertical="center"/>
    </xf>
    <xf numFmtId="194" fontId="221" fillId="93" borderId="95">
      <alignment vertical="center"/>
    </xf>
    <xf numFmtId="194" fontId="221" fillId="93" borderId="95" applyProtection="0">
      <alignment vertical="center"/>
    </xf>
    <xf numFmtId="194" fontId="219" fillId="87" borderId="95">
      <alignment vertical="center"/>
    </xf>
    <xf numFmtId="194" fontId="219" fillId="87" borderId="95" applyProtection="0">
      <alignment vertical="center"/>
    </xf>
    <xf numFmtId="194" fontId="218" fillId="87" borderId="95">
      <alignment vertical="center"/>
    </xf>
    <xf numFmtId="194" fontId="218" fillId="87" borderId="95">
      <alignment vertical="center"/>
    </xf>
    <xf numFmtId="194" fontId="218" fillId="87" borderId="95" applyProtection="0">
      <alignment vertical="center"/>
    </xf>
    <xf numFmtId="194" fontId="220" fillId="112" borderId="95">
      <alignment vertical="center"/>
    </xf>
    <xf numFmtId="194" fontId="220" fillId="112" borderId="95">
      <alignment vertical="center"/>
    </xf>
    <xf numFmtId="194" fontId="220" fillId="112" borderId="95" applyProtection="0">
      <alignment vertical="center"/>
    </xf>
    <xf numFmtId="194" fontId="221" fillId="93" borderId="95">
      <alignment vertical="center"/>
    </xf>
    <xf numFmtId="194" fontId="221" fillId="93" borderId="95">
      <alignment vertical="center"/>
    </xf>
    <xf numFmtId="194" fontId="221" fillId="93" borderId="95" applyProtection="0">
      <alignment vertical="center"/>
    </xf>
    <xf numFmtId="194" fontId="218" fillId="87" borderId="95">
      <alignment vertical="center"/>
    </xf>
    <xf numFmtId="194" fontId="218" fillId="87" borderId="95" applyProtection="0">
      <alignment vertical="center"/>
    </xf>
    <xf numFmtId="180" fontId="218" fillId="87" borderId="95">
      <alignment vertical="center"/>
    </xf>
    <xf numFmtId="180" fontId="219" fillId="87" borderId="95">
      <alignment vertical="center"/>
    </xf>
    <xf numFmtId="180" fontId="221" fillId="93" borderId="95">
      <alignment vertical="center"/>
    </xf>
    <xf numFmtId="180" fontId="221" fillId="93" borderId="95">
      <alignment vertical="center"/>
    </xf>
    <xf numFmtId="180" fontId="221" fillId="93" borderId="95" applyProtection="0">
      <alignment vertical="center"/>
    </xf>
    <xf numFmtId="180" fontId="219" fillId="87" borderId="95">
      <alignment vertical="center"/>
    </xf>
    <xf numFmtId="180" fontId="219" fillId="87" borderId="95" applyProtection="0">
      <alignment vertical="center"/>
    </xf>
    <xf numFmtId="180" fontId="218" fillId="87" borderId="95">
      <alignment vertical="center"/>
    </xf>
    <xf numFmtId="180" fontId="218" fillId="87" borderId="95">
      <alignment vertical="center"/>
    </xf>
    <xf numFmtId="180" fontId="218" fillId="87" borderId="95" applyProtection="0">
      <alignment vertical="center"/>
    </xf>
    <xf numFmtId="180" fontId="220" fillId="112" borderId="95">
      <alignment vertical="center"/>
    </xf>
    <xf numFmtId="180" fontId="220" fillId="112" borderId="95">
      <alignment vertical="center"/>
    </xf>
    <xf numFmtId="180" fontId="220" fillId="112" borderId="95" applyProtection="0">
      <alignment vertical="center"/>
    </xf>
    <xf numFmtId="180" fontId="221" fillId="93" borderId="95">
      <alignment vertical="center"/>
    </xf>
    <xf numFmtId="180" fontId="221" fillId="93" borderId="95">
      <alignment vertical="center"/>
    </xf>
    <xf numFmtId="180" fontId="221" fillId="93" borderId="95" applyProtection="0">
      <alignment vertical="center"/>
    </xf>
    <xf numFmtId="180" fontId="218" fillId="87" borderId="95">
      <alignment vertical="center"/>
    </xf>
    <xf numFmtId="180" fontId="218" fillId="87" borderId="95" applyProtection="0">
      <alignment vertical="center"/>
    </xf>
    <xf numFmtId="0" fontId="222" fillId="87" borderId="95">
      <alignment vertical="center"/>
    </xf>
    <xf numFmtId="0" fontId="223" fillId="87" borderId="95">
      <alignment vertical="center"/>
    </xf>
    <xf numFmtId="0" fontId="223" fillId="93" borderId="95">
      <alignment vertical="center"/>
    </xf>
    <xf numFmtId="0" fontId="223" fillId="93" borderId="95">
      <alignment vertical="center"/>
    </xf>
    <xf numFmtId="0" fontId="223" fillId="93" borderId="95" applyNumberFormat="0" applyProtection="0">
      <alignment vertical="center"/>
    </xf>
    <xf numFmtId="0" fontId="223" fillId="87" borderId="95">
      <alignment vertical="center"/>
    </xf>
    <xf numFmtId="0" fontId="223" fillId="87" borderId="95" applyNumberFormat="0" applyProtection="0">
      <alignment vertical="center"/>
    </xf>
    <xf numFmtId="0" fontId="223" fillId="87" borderId="95">
      <alignment vertical="center"/>
    </xf>
    <xf numFmtId="0" fontId="223" fillId="87" borderId="95">
      <alignment vertical="center"/>
    </xf>
    <xf numFmtId="0" fontId="223" fillId="87" borderId="95" applyNumberFormat="0" applyProtection="0">
      <alignment vertical="center"/>
    </xf>
    <xf numFmtId="0" fontId="223" fillId="112" borderId="95">
      <alignment vertical="center"/>
    </xf>
    <xf numFmtId="0" fontId="223" fillId="112" borderId="95">
      <alignment vertical="center"/>
    </xf>
    <xf numFmtId="0" fontId="223" fillId="112" borderId="95" applyNumberFormat="0" applyProtection="0">
      <alignment vertical="center"/>
    </xf>
    <xf numFmtId="0" fontId="223" fillId="93" borderId="95">
      <alignment vertical="center"/>
    </xf>
    <xf numFmtId="0" fontId="223" fillId="93" borderId="95">
      <alignment vertical="center"/>
    </xf>
    <xf numFmtId="0" fontId="223" fillId="93" borderId="95" applyNumberFormat="0" applyProtection="0">
      <alignment vertical="center"/>
    </xf>
    <xf numFmtId="0" fontId="222" fillId="87" borderId="95">
      <alignment vertical="center"/>
    </xf>
    <xf numFmtId="0" fontId="222" fillId="87" borderId="95" applyNumberFormat="0" applyProtection="0">
      <alignment vertical="center"/>
    </xf>
    <xf numFmtId="0" fontId="222" fillId="87" borderId="95">
      <alignment horizontal="left" vertical="center"/>
    </xf>
    <xf numFmtId="0" fontId="222" fillId="87" borderId="95">
      <alignment horizontal="left" vertical="center"/>
    </xf>
    <xf numFmtId="0" fontId="222" fillId="93" borderId="95">
      <alignment horizontal="left" vertical="center"/>
    </xf>
    <xf numFmtId="0" fontId="222" fillId="93" borderId="95">
      <alignment horizontal="left" vertical="center"/>
    </xf>
    <xf numFmtId="0" fontId="222" fillId="93" borderId="95" applyNumberFormat="0" applyProtection="0">
      <alignment horizontal="left" vertical="center"/>
    </xf>
    <xf numFmtId="0" fontId="222" fillId="87" borderId="95">
      <alignment horizontal="left" vertical="center"/>
    </xf>
    <xf numFmtId="0" fontId="222" fillId="87" borderId="95" applyNumberFormat="0" applyProtection="0">
      <alignment horizontal="left" vertical="center"/>
    </xf>
    <xf numFmtId="0" fontId="222" fillId="87" borderId="95">
      <alignment horizontal="left" vertical="center"/>
    </xf>
    <xf numFmtId="0" fontId="222" fillId="87" borderId="95">
      <alignment horizontal="left" vertical="center"/>
    </xf>
    <xf numFmtId="0" fontId="222" fillId="87" borderId="95" applyNumberFormat="0" applyProtection="0">
      <alignment horizontal="left" vertical="center"/>
    </xf>
    <xf numFmtId="0" fontId="222" fillId="112" borderId="95">
      <alignment horizontal="left" vertical="center"/>
    </xf>
    <xf numFmtId="0" fontId="222" fillId="112" borderId="95">
      <alignment horizontal="left" vertical="center"/>
    </xf>
    <xf numFmtId="0" fontId="222" fillId="112" borderId="95" applyNumberFormat="0" applyProtection="0">
      <alignment horizontal="left" vertical="center"/>
    </xf>
    <xf numFmtId="0" fontId="222" fillId="93" borderId="95">
      <alignment horizontal="left" vertical="center"/>
    </xf>
    <xf numFmtId="0" fontId="222" fillId="93" borderId="95">
      <alignment horizontal="left" vertical="center"/>
    </xf>
    <xf numFmtId="0" fontId="222" fillId="93" borderId="95" applyNumberFormat="0" applyProtection="0">
      <alignment horizontal="left" vertical="center"/>
    </xf>
    <xf numFmtId="0" fontId="222" fillId="87" borderId="95">
      <alignment horizontal="left" vertical="center"/>
    </xf>
    <xf numFmtId="0" fontId="222" fillId="87" borderId="95" applyNumberFormat="0" applyProtection="0">
      <alignment horizontal="left" vertical="center"/>
    </xf>
    <xf numFmtId="0" fontId="78" fillId="122" borderId="0">
      <alignment horizontal="left" vertical="center"/>
    </xf>
    <xf numFmtId="0" fontId="78" fillId="101" borderId="0">
      <alignment horizontal="left" vertical="center"/>
    </xf>
    <xf numFmtId="0" fontId="78" fillId="101" borderId="0">
      <alignment horizontal="left" vertical="center"/>
    </xf>
    <xf numFmtId="0" fontId="79" fillId="101" borderId="0" applyNumberFormat="0" applyBorder="0" applyProtection="0">
      <alignment horizontal="left" vertical="center"/>
    </xf>
    <xf numFmtId="0" fontId="78" fillId="93" borderId="0">
      <alignment horizontal="left" vertical="center"/>
    </xf>
    <xf numFmtId="0" fontId="78" fillId="93" borderId="0">
      <alignment horizontal="left" vertical="center"/>
    </xf>
    <xf numFmtId="0" fontId="79" fillId="93" borderId="0" applyNumberFormat="0" applyBorder="0" applyProtection="0">
      <alignment horizontal="left" vertical="center"/>
    </xf>
    <xf numFmtId="0" fontId="78" fillId="122" borderId="0">
      <alignment horizontal="left" vertical="center"/>
    </xf>
    <xf numFmtId="0" fontId="78" fillId="122" borderId="0">
      <alignment horizontal="left" vertical="center"/>
    </xf>
    <xf numFmtId="0" fontId="79" fillId="122" borderId="0" applyNumberFormat="0" applyBorder="0" applyProtection="0">
      <alignment horizontal="left" vertical="center"/>
    </xf>
    <xf numFmtId="0" fontId="78" fillId="101" borderId="0">
      <alignment horizontal="left" vertical="center"/>
    </xf>
    <xf numFmtId="0" fontId="78" fillId="101" borderId="0">
      <alignment horizontal="left" vertical="center"/>
    </xf>
    <xf numFmtId="0" fontId="79" fillId="101" borderId="0" applyNumberFormat="0" applyBorder="0" applyProtection="0">
      <alignment horizontal="left" vertical="center"/>
    </xf>
    <xf numFmtId="0" fontId="78" fillId="122" borderId="0">
      <alignment horizontal="left" vertical="center"/>
    </xf>
    <xf numFmtId="0" fontId="79" fillId="122" borderId="0" applyNumberFormat="0" applyBorder="0" applyProtection="0">
      <alignment horizontal="left" vertical="center"/>
    </xf>
    <xf numFmtId="49" fontId="78" fillId="125" borderId="83">
      <alignment vertical="center" wrapText="1"/>
    </xf>
    <xf numFmtId="49" fontId="78" fillId="79" borderId="83">
      <alignment vertical="center" wrapText="1"/>
    </xf>
    <xf numFmtId="49" fontId="78" fillId="79" borderId="83">
      <alignment vertical="center" wrapText="1"/>
    </xf>
    <xf numFmtId="49" fontId="78" fillId="79" borderId="83">
      <alignment vertical="center" wrapText="1"/>
    </xf>
    <xf numFmtId="49" fontId="79" fillId="79" borderId="83" applyProtection="0">
      <alignment vertical="center" wrapText="1"/>
    </xf>
    <xf numFmtId="49" fontId="78" fillId="105" borderId="83">
      <alignment vertical="center" wrapText="1"/>
    </xf>
    <xf numFmtId="49" fontId="78" fillId="105" borderId="83">
      <alignment vertical="center" wrapText="1"/>
    </xf>
    <xf numFmtId="49" fontId="79" fillId="105" borderId="83" applyProtection="0">
      <alignment vertical="center" wrapText="1"/>
    </xf>
    <xf numFmtId="49" fontId="78" fillId="79" borderId="83">
      <alignment vertical="center" wrapText="1"/>
    </xf>
    <xf numFmtId="49" fontId="79" fillId="79" borderId="83" applyProtection="0">
      <alignment vertical="center" wrapText="1"/>
    </xf>
    <xf numFmtId="49" fontId="78" fillId="79" borderId="83">
      <alignment vertical="center" wrapText="1"/>
    </xf>
    <xf numFmtId="49" fontId="78" fillId="125" borderId="83">
      <alignment vertical="center" wrapText="1"/>
    </xf>
    <xf numFmtId="49" fontId="78" fillId="125" borderId="83">
      <alignment vertical="center" wrapText="1"/>
    </xf>
    <xf numFmtId="49" fontId="79" fillId="125" borderId="83" applyProtection="0">
      <alignment vertical="center" wrapText="1"/>
    </xf>
    <xf numFmtId="49" fontId="78" fillId="79" borderId="83">
      <alignment vertical="center" wrapText="1"/>
    </xf>
    <xf numFmtId="49" fontId="79" fillId="79" borderId="83" applyProtection="0">
      <alignment vertical="center" wrapText="1"/>
    </xf>
    <xf numFmtId="49" fontId="78" fillId="79" borderId="83">
      <alignment vertical="center" wrapText="1"/>
    </xf>
    <xf numFmtId="49" fontId="78" fillId="79" borderId="83">
      <alignment vertical="center" wrapText="1"/>
    </xf>
    <xf numFmtId="49" fontId="79" fillId="79" borderId="83" applyProtection="0">
      <alignment vertical="center" wrapText="1"/>
    </xf>
    <xf numFmtId="49" fontId="78" fillId="104" borderId="83">
      <alignment vertical="center" wrapText="1"/>
    </xf>
    <xf numFmtId="49" fontId="78" fillId="104" borderId="83">
      <alignment vertical="center" wrapText="1"/>
    </xf>
    <xf numFmtId="49" fontId="79" fillId="104" borderId="83" applyProtection="0">
      <alignment vertical="center" wrapText="1"/>
    </xf>
    <xf numFmtId="49" fontId="78" fillId="125" borderId="83">
      <alignment vertical="center" wrapText="1"/>
    </xf>
    <xf numFmtId="49" fontId="79" fillId="125" borderId="83" applyProtection="0">
      <alignment vertical="center" wrapText="1"/>
    </xf>
    <xf numFmtId="0" fontId="78" fillId="95" borderId="83">
      <alignment horizontal="left" vertical="center" wrapText="1"/>
    </xf>
    <xf numFmtId="0" fontId="78" fillId="95" borderId="83">
      <alignment horizontal="left" vertical="center" wrapText="1"/>
    </xf>
    <xf numFmtId="0" fontId="78" fillId="95" borderId="83">
      <alignment horizontal="left" vertical="center" wrapText="1"/>
    </xf>
    <xf numFmtId="0" fontId="79" fillId="95" borderId="83" applyNumberFormat="0" applyProtection="0">
      <alignment horizontal="left" vertical="center" wrapText="1"/>
    </xf>
    <xf numFmtId="0" fontId="78" fillId="95" borderId="83">
      <alignment horizontal="left" vertical="center" wrapText="1"/>
    </xf>
    <xf numFmtId="0" fontId="78" fillId="95" borderId="83">
      <alignment horizontal="left" vertical="center" wrapText="1"/>
    </xf>
    <xf numFmtId="0" fontId="79" fillId="95" borderId="83" applyNumberFormat="0" applyProtection="0">
      <alignment horizontal="left" vertical="center" wrapText="1"/>
    </xf>
    <xf numFmtId="0" fontId="78" fillId="95" borderId="83">
      <alignment horizontal="left" vertical="center" wrapText="1"/>
    </xf>
    <xf numFmtId="0" fontId="78" fillId="95" borderId="83">
      <alignment horizontal="left" vertical="center" wrapText="1"/>
    </xf>
    <xf numFmtId="0" fontId="79" fillId="95" borderId="83" applyNumberFormat="0" applyProtection="0">
      <alignment horizontal="left" vertical="center" wrapText="1"/>
    </xf>
    <xf numFmtId="0" fontId="78" fillId="95" borderId="83">
      <alignment horizontal="left" vertical="center" wrapText="1"/>
    </xf>
    <xf numFmtId="0" fontId="79" fillId="95" borderId="83" applyNumberFormat="0" applyProtection="0">
      <alignment horizontal="left" vertical="center" wrapText="1"/>
    </xf>
    <xf numFmtId="0" fontId="140" fillId="95" borderId="83">
      <alignment horizontal="left" vertical="center" wrapText="1"/>
    </xf>
    <xf numFmtId="0" fontId="140" fillId="95" borderId="83">
      <alignment horizontal="left" vertical="center" wrapText="1"/>
    </xf>
    <xf numFmtId="0" fontId="140" fillId="95" borderId="83">
      <alignment horizontal="left" vertical="center" wrapText="1"/>
    </xf>
    <xf numFmtId="0" fontId="203" fillId="95" borderId="83" applyNumberFormat="0" applyProtection="0">
      <alignment horizontal="left" vertical="center" wrapText="1"/>
    </xf>
    <xf numFmtId="0" fontId="140" fillId="95" borderId="83">
      <alignment horizontal="left" vertical="center" wrapText="1"/>
    </xf>
    <xf numFmtId="0" fontId="140" fillId="95" borderId="83">
      <alignment horizontal="left" vertical="center" wrapText="1"/>
    </xf>
    <xf numFmtId="0" fontId="203" fillId="95" borderId="83" applyNumberFormat="0" applyProtection="0">
      <alignment horizontal="left" vertical="center" wrapText="1"/>
    </xf>
    <xf numFmtId="0" fontId="140" fillId="95" borderId="83">
      <alignment horizontal="left" vertical="center" wrapText="1"/>
    </xf>
    <xf numFmtId="0" fontId="140" fillId="95" borderId="83">
      <alignment horizontal="left" vertical="center" wrapText="1"/>
    </xf>
    <xf numFmtId="0" fontId="203" fillId="95" borderId="83" applyNumberFormat="0" applyProtection="0">
      <alignment horizontal="left" vertical="center" wrapText="1"/>
    </xf>
    <xf numFmtId="0" fontId="140" fillId="95" borderId="83">
      <alignment horizontal="left" vertical="center" wrapText="1"/>
    </xf>
    <xf numFmtId="0" fontId="203" fillId="95" borderId="83" applyNumberFormat="0" applyProtection="0">
      <alignment horizontal="left" vertical="center" wrapText="1"/>
    </xf>
    <xf numFmtId="0" fontId="78" fillId="105" borderId="96">
      <alignment horizontal="left" vertical="center" wrapText="1"/>
    </xf>
    <xf numFmtId="0" fontId="78" fillId="126" borderId="83">
      <alignment horizontal="left" vertical="center" wrapText="1"/>
    </xf>
    <xf numFmtId="0" fontId="78" fillId="126" borderId="83">
      <alignment horizontal="left" vertical="center" wrapText="1"/>
    </xf>
    <xf numFmtId="0" fontId="79" fillId="126" borderId="83" applyNumberFormat="0" applyProtection="0">
      <alignment horizontal="left" vertical="center" wrapText="1"/>
    </xf>
    <xf numFmtId="0" fontId="78" fillId="104" borderId="83">
      <alignment horizontal="left" vertical="center" wrapText="1"/>
    </xf>
    <xf numFmtId="0" fontId="78" fillId="104" borderId="83">
      <alignment horizontal="left" vertical="center" wrapText="1"/>
    </xf>
    <xf numFmtId="0" fontId="79" fillId="104" borderId="83" applyNumberFormat="0" applyProtection="0">
      <alignment horizontal="left" vertical="center" wrapText="1"/>
    </xf>
    <xf numFmtId="0" fontId="78" fillId="126" borderId="83">
      <alignment horizontal="left" vertical="center" wrapText="1"/>
    </xf>
    <xf numFmtId="0" fontId="78" fillId="126" borderId="83">
      <alignment horizontal="left" vertical="center" wrapText="1"/>
    </xf>
    <xf numFmtId="0" fontId="79" fillId="126" borderId="83" applyNumberFormat="0" applyProtection="0">
      <alignment horizontal="left" vertical="center" wrapText="1"/>
    </xf>
    <xf numFmtId="0" fontId="78" fillId="102" borderId="83">
      <alignment horizontal="left" vertical="center" wrapText="1"/>
    </xf>
    <xf numFmtId="0" fontId="78" fillId="102" borderId="83">
      <alignment horizontal="left" vertical="center" wrapText="1"/>
    </xf>
    <xf numFmtId="0" fontId="79" fillId="102" borderId="83" applyNumberFormat="0" applyProtection="0">
      <alignment horizontal="left" vertical="center" wrapText="1"/>
    </xf>
    <xf numFmtId="0" fontId="78" fillId="105" borderId="96">
      <alignment horizontal="left" vertical="center" wrapText="1"/>
    </xf>
    <xf numFmtId="0" fontId="79" fillId="105" borderId="96" applyNumberFormat="0" applyProtection="0">
      <alignment horizontal="left" vertical="center" wrapText="1"/>
    </xf>
    <xf numFmtId="0" fontId="224" fillId="93" borderId="83">
      <alignment horizontal="left" vertical="center" wrapText="1"/>
    </xf>
    <xf numFmtId="0" fontId="224" fillId="93" borderId="83">
      <alignment horizontal="left" vertical="center" wrapText="1"/>
    </xf>
    <xf numFmtId="0" fontId="224" fillId="93" borderId="83">
      <alignment horizontal="left" vertical="center" wrapText="1"/>
    </xf>
    <xf numFmtId="0" fontId="225" fillId="93" borderId="83" applyNumberFormat="0" applyProtection="0">
      <alignment horizontal="left" vertical="center" wrapText="1"/>
    </xf>
    <xf numFmtId="0" fontId="224" fillId="94" borderId="83">
      <alignment horizontal="left" vertical="center" wrapText="1"/>
    </xf>
    <xf numFmtId="0" fontId="224" fillId="94" borderId="83">
      <alignment horizontal="left" vertical="center" wrapText="1"/>
    </xf>
    <xf numFmtId="0" fontId="225" fillId="94" borderId="83" applyNumberFormat="0" applyProtection="0">
      <alignment horizontal="left" vertical="center" wrapText="1"/>
    </xf>
    <xf numFmtId="0" fontId="224" fillId="127" borderId="83">
      <alignment horizontal="left" vertical="center" wrapText="1"/>
    </xf>
    <xf numFmtId="0" fontId="224" fillId="127" borderId="83">
      <alignment horizontal="left" vertical="center" wrapText="1"/>
    </xf>
    <xf numFmtId="0" fontId="225" fillId="127" borderId="83" applyNumberFormat="0" applyProtection="0">
      <alignment horizontal="left" vertical="center" wrapText="1"/>
    </xf>
    <xf numFmtId="0" fontId="224" fillId="89" borderId="83">
      <alignment horizontal="left" vertical="center" wrapText="1"/>
    </xf>
    <xf numFmtId="0" fontId="224" fillId="89" borderId="83">
      <alignment horizontal="left" vertical="center" wrapText="1"/>
    </xf>
    <xf numFmtId="0" fontId="225" fillId="89" borderId="83" applyNumberFormat="0" applyProtection="0">
      <alignment horizontal="left" vertical="center" wrapText="1"/>
    </xf>
    <xf numFmtId="0" fontId="224" fillId="93" borderId="83">
      <alignment horizontal="left" vertical="center" wrapText="1"/>
    </xf>
    <xf numFmtId="0" fontId="225" fillId="93" borderId="83" applyNumberFormat="0" applyProtection="0">
      <alignment horizontal="left" vertical="center" wrapText="1"/>
    </xf>
    <xf numFmtId="49" fontId="226" fillId="118" borderId="97">
      <alignment vertical="center"/>
    </xf>
    <xf numFmtId="49" fontId="227" fillId="118" borderId="80">
      <alignment vertical="center"/>
    </xf>
    <xf numFmtId="49" fontId="227" fillId="118" borderId="80">
      <alignment vertical="center"/>
    </xf>
    <xf numFmtId="49" fontId="228" fillId="118" borderId="80" applyProtection="0">
      <alignment vertical="center"/>
    </xf>
    <xf numFmtId="49" fontId="229" fillId="118" borderId="80">
      <alignment vertical="center"/>
    </xf>
    <xf numFmtId="49" fontId="229" fillId="118" borderId="80">
      <alignment vertical="center"/>
    </xf>
    <xf numFmtId="49" fontId="230" fillId="118" borderId="80" applyProtection="0">
      <alignment vertical="center"/>
    </xf>
    <xf numFmtId="49" fontId="229" fillId="118" borderId="80">
      <alignment vertical="center"/>
    </xf>
    <xf numFmtId="49" fontId="229" fillId="118" borderId="80">
      <alignment vertical="center"/>
    </xf>
    <xf numFmtId="49" fontId="230" fillId="118" borderId="80" applyProtection="0">
      <alignment vertical="center"/>
    </xf>
    <xf numFmtId="49" fontId="227" fillId="118" borderId="80">
      <alignment vertical="center"/>
    </xf>
    <xf numFmtId="49" fontId="227" fillId="118" borderId="80">
      <alignment vertical="center"/>
    </xf>
    <xf numFmtId="49" fontId="228" fillId="118" borderId="80" applyProtection="0">
      <alignment vertical="center"/>
    </xf>
    <xf numFmtId="49" fontId="226" fillId="118" borderId="97">
      <alignment vertical="center"/>
    </xf>
    <xf numFmtId="49" fontId="231" fillId="118" borderId="97" applyProtection="0">
      <alignment vertical="center"/>
    </xf>
    <xf numFmtId="0" fontId="232" fillId="118" borderId="98">
      <alignment horizontal="left" vertical="center" wrapText="1"/>
    </xf>
    <xf numFmtId="0" fontId="232" fillId="118" borderId="0">
      <alignment horizontal="left" vertical="center" wrapText="1"/>
    </xf>
    <xf numFmtId="0" fontId="232" fillId="118" borderId="0">
      <alignment horizontal="left" vertical="center" wrapText="1"/>
    </xf>
    <xf numFmtId="0" fontId="233" fillId="118" borderId="0" applyNumberFormat="0" applyBorder="0" applyProtection="0">
      <alignment horizontal="left" vertical="center" wrapText="1"/>
    </xf>
    <xf numFmtId="0" fontId="232" fillId="118" borderId="0">
      <alignment horizontal="left" vertical="center" wrapText="1"/>
    </xf>
    <xf numFmtId="0" fontId="232" fillId="118" borderId="0">
      <alignment horizontal="left" vertical="center" wrapText="1"/>
    </xf>
    <xf numFmtId="0" fontId="233" fillId="118" borderId="0" applyNumberFormat="0" applyBorder="0" applyProtection="0">
      <alignment horizontal="left" vertical="center" wrapText="1"/>
    </xf>
    <xf numFmtId="0" fontId="232" fillId="118" borderId="0">
      <alignment horizontal="left" vertical="center" wrapText="1"/>
    </xf>
    <xf numFmtId="0" fontId="232" fillId="118" borderId="0">
      <alignment horizontal="left" vertical="center" wrapText="1"/>
    </xf>
    <xf numFmtId="0" fontId="233" fillId="118" borderId="0" applyNumberFormat="0" applyBorder="0" applyProtection="0">
      <alignment horizontal="left" vertical="center" wrapText="1"/>
    </xf>
    <xf numFmtId="0" fontId="232" fillId="118" borderId="0">
      <alignment horizontal="left" vertical="center" wrapText="1"/>
    </xf>
    <xf numFmtId="0" fontId="232" fillId="118" borderId="0">
      <alignment horizontal="left" vertical="center" wrapText="1"/>
    </xf>
    <xf numFmtId="0" fontId="233" fillId="118" borderId="0" applyNumberFormat="0" applyBorder="0" applyProtection="0">
      <alignment horizontal="left" vertical="center" wrapText="1"/>
    </xf>
    <xf numFmtId="0" fontId="232" fillId="118" borderId="98">
      <alignment horizontal="left" vertical="center" wrapText="1"/>
    </xf>
    <xf numFmtId="0" fontId="233" fillId="118" borderId="98" applyNumberFormat="0" applyProtection="0">
      <alignment horizontal="left" vertical="center" wrapText="1"/>
    </xf>
    <xf numFmtId="49" fontId="78" fillId="80" borderId="0">
      <alignment vertical="center" wrapText="1"/>
    </xf>
    <xf numFmtId="49" fontId="78" fillId="96" borderId="80">
      <alignment vertical="center" wrapText="1"/>
    </xf>
    <xf numFmtId="49" fontId="78" fillId="120" borderId="80">
      <alignment vertical="center" wrapText="1"/>
    </xf>
    <xf numFmtId="49" fontId="78" fillId="120" borderId="80">
      <alignment vertical="center" wrapText="1"/>
    </xf>
    <xf numFmtId="49" fontId="79" fillId="120" borderId="80" applyProtection="0">
      <alignment vertical="center" wrapText="1"/>
    </xf>
    <xf numFmtId="49" fontId="78" fillId="96" borderId="80">
      <alignment vertical="center" wrapText="1"/>
    </xf>
    <xf numFmtId="49" fontId="79" fillId="96" borderId="80" applyProtection="0">
      <alignment vertical="center" wrapText="1"/>
    </xf>
    <xf numFmtId="49" fontId="78" fillId="96" borderId="80">
      <alignment vertical="center" wrapText="1"/>
    </xf>
    <xf numFmtId="49" fontId="78" fillId="96" borderId="80">
      <alignment vertical="center" wrapText="1"/>
    </xf>
    <xf numFmtId="49" fontId="79" fillId="96" borderId="80" applyProtection="0">
      <alignment vertical="center" wrapText="1"/>
    </xf>
    <xf numFmtId="49" fontId="78" fillId="120" borderId="80">
      <alignment vertical="center" wrapText="1"/>
    </xf>
    <xf numFmtId="49" fontId="78" fillId="120" borderId="80">
      <alignment vertical="center" wrapText="1"/>
    </xf>
    <xf numFmtId="49" fontId="79" fillId="120" borderId="80" applyProtection="0">
      <alignment vertical="center" wrapText="1"/>
    </xf>
    <xf numFmtId="49" fontId="78" fillId="80" borderId="0">
      <alignment vertical="center" wrapText="1"/>
    </xf>
    <xf numFmtId="49" fontId="79" fillId="80" borderId="0" applyBorder="0" applyProtection="0">
      <alignment vertical="center" wrapText="1"/>
    </xf>
    <xf numFmtId="0" fontId="78" fillId="99" borderId="83">
      <alignment horizontal="left" vertical="center" wrapText="1"/>
    </xf>
    <xf numFmtId="0" fontId="78" fillId="97" borderId="83">
      <alignment horizontal="left" vertical="center" wrapText="1"/>
    </xf>
    <xf numFmtId="0" fontId="78" fillId="97" borderId="83">
      <alignment horizontal="left" vertical="center" wrapText="1"/>
    </xf>
    <xf numFmtId="0" fontId="79" fillId="97" borderId="83" applyNumberFormat="0" applyProtection="0">
      <alignment horizontal="left" vertical="center" wrapText="1"/>
    </xf>
    <xf numFmtId="0" fontId="78" fillId="104" borderId="83">
      <alignment horizontal="left" vertical="center" wrapText="1"/>
    </xf>
    <xf numFmtId="0" fontId="78" fillId="104" borderId="83">
      <alignment horizontal="left" vertical="center" wrapText="1"/>
    </xf>
    <xf numFmtId="0" fontId="79" fillId="104" borderId="83" applyNumberFormat="0" applyProtection="0">
      <alignment horizontal="left" vertical="center" wrapText="1"/>
    </xf>
    <xf numFmtId="0" fontId="78" fillId="121" borderId="83">
      <alignment horizontal="left" vertical="center" wrapText="1"/>
    </xf>
    <xf numFmtId="0" fontId="78" fillId="121" borderId="83">
      <alignment horizontal="left" vertical="center" wrapText="1"/>
    </xf>
    <xf numFmtId="0" fontId="79" fillId="121" borderId="83" applyNumberFormat="0" applyProtection="0">
      <alignment horizontal="left" vertical="center" wrapText="1"/>
    </xf>
    <xf numFmtId="0" fontId="78" fillId="97" borderId="83">
      <alignment horizontal="left" vertical="center" wrapText="1"/>
    </xf>
    <xf numFmtId="0" fontId="78" fillId="97" borderId="83">
      <alignment horizontal="left" vertical="center" wrapText="1"/>
    </xf>
    <xf numFmtId="0" fontId="79" fillId="97" borderId="83" applyNumberFormat="0" applyProtection="0">
      <alignment horizontal="left" vertical="center" wrapText="1"/>
    </xf>
    <xf numFmtId="0" fontId="78" fillId="99" borderId="83">
      <alignment horizontal="left" vertical="center" wrapText="1"/>
    </xf>
    <xf numFmtId="0" fontId="79" fillId="99" borderId="83" applyNumberFormat="0" applyProtection="0">
      <alignment horizontal="left" vertical="center" wrapText="1"/>
    </xf>
    <xf numFmtId="0" fontId="78" fillId="97" borderId="83">
      <alignment horizontal="left" vertical="center" wrapText="1"/>
    </xf>
    <xf numFmtId="0" fontId="78" fillId="96" borderId="83">
      <alignment horizontal="left" vertical="center" wrapText="1"/>
    </xf>
    <xf numFmtId="0" fontId="78" fillId="96" borderId="83">
      <alignment horizontal="left" vertical="center" wrapText="1"/>
    </xf>
    <xf numFmtId="0" fontId="79" fillId="96" borderId="83" applyNumberFormat="0" applyProtection="0">
      <alignment horizontal="left" vertical="center" wrapText="1"/>
    </xf>
    <xf numFmtId="0" fontId="78" fillId="99" borderId="83">
      <alignment horizontal="left" vertical="center" wrapText="1"/>
    </xf>
    <xf numFmtId="0" fontId="78" fillId="99" borderId="83">
      <alignment horizontal="left" vertical="center" wrapText="1"/>
    </xf>
    <xf numFmtId="0" fontId="79" fillId="99" borderId="83" applyNumberFormat="0" applyProtection="0">
      <alignment horizontal="left" vertical="center" wrapText="1"/>
    </xf>
    <xf numFmtId="0" fontId="78" fillId="79" borderId="83">
      <alignment horizontal="left" vertical="center" wrapText="1"/>
    </xf>
    <xf numFmtId="0" fontId="78" fillId="79" borderId="83">
      <alignment horizontal="left" vertical="center" wrapText="1"/>
    </xf>
    <xf numFmtId="0" fontId="79" fillId="79" borderId="83" applyNumberFormat="0" applyProtection="0">
      <alignment horizontal="left" vertical="center" wrapText="1"/>
    </xf>
    <xf numFmtId="0" fontId="78" fillId="97" borderId="83">
      <alignment horizontal="left" vertical="center" wrapText="1"/>
    </xf>
    <xf numFmtId="0" fontId="79" fillId="97" borderId="83" applyNumberFormat="0" applyProtection="0">
      <alignment horizontal="left" vertical="center" wrapText="1"/>
    </xf>
    <xf numFmtId="0" fontId="78" fillId="94" borderId="83">
      <alignment horizontal="left" vertical="center" wrapText="1"/>
    </xf>
    <xf numFmtId="0" fontId="78" fillId="92" borderId="83">
      <alignment horizontal="left" vertical="center" wrapText="1"/>
    </xf>
    <xf numFmtId="0" fontId="78" fillId="92" borderId="83">
      <alignment horizontal="left" vertical="center" wrapText="1"/>
    </xf>
    <xf numFmtId="0" fontId="79" fillId="92" borderId="83" applyNumberFormat="0" applyProtection="0">
      <alignment horizontal="left" vertical="center" wrapText="1"/>
    </xf>
    <xf numFmtId="0" fontId="78" fillId="103" borderId="83">
      <alignment horizontal="left" vertical="center" wrapText="1"/>
    </xf>
    <xf numFmtId="0" fontId="78" fillId="103" borderId="83">
      <alignment horizontal="left" vertical="center" wrapText="1"/>
    </xf>
    <xf numFmtId="0" fontId="79" fillId="103" borderId="83" applyNumberFormat="0" applyProtection="0">
      <alignment horizontal="left" vertical="center" wrapText="1"/>
    </xf>
    <xf numFmtId="0" fontId="78" fillId="94" borderId="83">
      <alignment horizontal="left" vertical="center" wrapText="1"/>
    </xf>
    <xf numFmtId="0" fontId="79" fillId="94" borderId="83" applyNumberFormat="0" applyProtection="0">
      <alignment horizontal="left" vertical="center" wrapText="1"/>
    </xf>
    <xf numFmtId="0" fontId="78" fillId="92" borderId="83">
      <alignment horizontal="left" vertical="center" wrapText="1"/>
    </xf>
    <xf numFmtId="0" fontId="78" fillId="84" borderId="83">
      <alignment horizontal="left" vertical="center" wrapText="1"/>
    </xf>
    <xf numFmtId="0" fontId="78" fillId="84" borderId="83">
      <alignment horizontal="left" vertical="center" wrapText="1"/>
    </xf>
    <xf numFmtId="0" fontId="79" fillId="84" borderId="83" applyNumberFormat="0" applyProtection="0">
      <alignment horizontal="left" vertical="center" wrapText="1"/>
    </xf>
    <xf numFmtId="0" fontId="78" fillId="97" borderId="83">
      <alignment horizontal="left" vertical="center" wrapText="1"/>
    </xf>
    <xf numFmtId="0" fontId="78" fillId="97" borderId="83">
      <alignment horizontal="left" vertical="center" wrapText="1"/>
    </xf>
    <xf numFmtId="0" fontId="79" fillId="97" borderId="83" applyNumberFormat="0" applyProtection="0">
      <alignment horizontal="left" vertical="center" wrapText="1"/>
    </xf>
    <xf numFmtId="0" fontId="78" fillId="92" borderId="83">
      <alignment horizontal="left" vertical="center" wrapText="1"/>
    </xf>
    <xf numFmtId="0" fontId="78" fillId="92" borderId="83">
      <alignment horizontal="left" vertical="center" wrapText="1"/>
    </xf>
    <xf numFmtId="0" fontId="79" fillId="92" borderId="83" applyNumberFormat="0" applyProtection="0">
      <alignment horizontal="left" vertical="center" wrapText="1"/>
    </xf>
    <xf numFmtId="0" fontId="78" fillId="84" borderId="83">
      <alignment horizontal="left" vertical="center" wrapText="1"/>
    </xf>
    <xf numFmtId="0" fontId="78" fillId="84" borderId="83">
      <alignment horizontal="left" vertical="center" wrapText="1"/>
    </xf>
    <xf numFmtId="0" fontId="79" fillId="84" borderId="83" applyNumberFormat="0" applyProtection="0">
      <alignment horizontal="left" vertical="center" wrapText="1"/>
    </xf>
    <xf numFmtId="0" fontId="78" fillId="92" borderId="83">
      <alignment horizontal="left" vertical="center" wrapText="1"/>
    </xf>
    <xf numFmtId="0" fontId="79" fillId="92" borderId="83" applyNumberFormat="0" applyProtection="0">
      <alignment horizontal="left" vertical="center" wrapText="1"/>
    </xf>
    <xf numFmtId="0" fontId="78" fillId="84" borderId="83">
      <alignment horizontal="left" vertical="center" wrapText="1"/>
    </xf>
    <xf numFmtId="0" fontId="78" fillId="84" borderId="83">
      <alignment horizontal="left" vertical="center" wrapText="1"/>
    </xf>
    <xf numFmtId="0" fontId="78" fillId="84" borderId="83">
      <alignment horizontal="left" vertical="center" wrapText="1"/>
    </xf>
    <xf numFmtId="0" fontId="79" fillId="84" borderId="83" applyNumberFormat="0" applyProtection="0">
      <alignment horizontal="left" vertical="center" wrapText="1"/>
    </xf>
    <xf numFmtId="0" fontId="78" fillId="84" borderId="83">
      <alignment horizontal="left" vertical="center" wrapText="1"/>
    </xf>
    <xf numFmtId="0" fontId="78" fillId="84" borderId="83">
      <alignment horizontal="left" vertical="center" wrapText="1"/>
    </xf>
    <xf numFmtId="0" fontId="79" fillId="84" borderId="83" applyNumberFormat="0" applyProtection="0">
      <alignment horizontal="left" vertical="center" wrapText="1"/>
    </xf>
    <xf numFmtId="0" fontId="78" fillId="84" borderId="83">
      <alignment horizontal="left" vertical="center" wrapText="1"/>
    </xf>
    <xf numFmtId="0" fontId="79" fillId="84" borderId="83" applyNumberFormat="0" applyProtection="0">
      <alignment horizontal="left" vertical="center" wrapText="1"/>
    </xf>
    <xf numFmtId="49" fontId="227" fillId="75" borderId="97">
      <alignment vertical="center"/>
    </xf>
    <xf numFmtId="49" fontId="234" fillId="75" borderId="80">
      <alignment vertical="center"/>
    </xf>
    <xf numFmtId="49" fontId="234" fillId="75" borderId="80">
      <alignment vertical="center"/>
    </xf>
    <xf numFmtId="49" fontId="235" fillId="75" borderId="80" applyProtection="0">
      <alignment vertical="center"/>
    </xf>
    <xf numFmtId="49" fontId="234" fillId="75" borderId="80">
      <alignment vertical="center"/>
    </xf>
    <xf numFmtId="49" fontId="234" fillId="75" borderId="80">
      <alignment vertical="center"/>
    </xf>
    <xf numFmtId="49" fontId="235" fillId="75" borderId="80" applyProtection="0">
      <alignment vertical="center"/>
    </xf>
    <xf numFmtId="49" fontId="234" fillId="75" borderId="80">
      <alignment vertical="center"/>
    </xf>
    <xf numFmtId="49" fontId="234" fillId="75" borderId="80">
      <alignment vertical="center"/>
    </xf>
    <xf numFmtId="49" fontId="235" fillId="75" borderId="80" applyProtection="0">
      <alignment vertical="center"/>
    </xf>
    <xf numFmtId="49" fontId="234" fillId="75" borderId="80">
      <alignment vertical="center"/>
    </xf>
    <xf numFmtId="49" fontId="234" fillId="75" borderId="80">
      <alignment vertical="center"/>
    </xf>
    <xf numFmtId="49" fontId="235" fillId="75" borderId="80" applyProtection="0">
      <alignment vertical="center"/>
    </xf>
    <xf numFmtId="49" fontId="227" fillId="75" borderId="97">
      <alignment vertical="center"/>
    </xf>
    <xf numFmtId="49" fontId="228" fillId="75" borderId="97" applyProtection="0">
      <alignment vertical="center"/>
    </xf>
    <xf numFmtId="0" fontId="232" fillId="75" borderId="98">
      <alignment horizontal="left" vertical="center" wrapText="1"/>
    </xf>
    <xf numFmtId="0" fontId="232" fillId="75" borderId="0">
      <alignment horizontal="left" vertical="center" wrapText="1"/>
    </xf>
    <xf numFmtId="0" fontId="232" fillId="75" borderId="0">
      <alignment horizontal="left" vertical="center" wrapText="1"/>
    </xf>
    <xf numFmtId="0" fontId="233" fillId="75" borderId="0" applyNumberFormat="0" applyBorder="0" applyProtection="0">
      <alignment horizontal="left" vertical="center" wrapText="1"/>
    </xf>
    <xf numFmtId="0" fontId="232" fillId="75" borderId="0">
      <alignment horizontal="left" vertical="center" wrapText="1"/>
    </xf>
    <xf numFmtId="0" fontId="232" fillId="75" borderId="0">
      <alignment horizontal="left" vertical="center" wrapText="1"/>
    </xf>
    <xf numFmtId="0" fontId="233" fillId="75" borderId="0" applyNumberFormat="0" applyBorder="0" applyProtection="0">
      <alignment horizontal="left" vertical="center" wrapText="1"/>
    </xf>
    <xf numFmtId="0" fontId="232" fillId="75" borderId="0">
      <alignment horizontal="left" vertical="center" wrapText="1"/>
    </xf>
    <xf numFmtId="0" fontId="232" fillId="75" borderId="0">
      <alignment horizontal="left" vertical="center" wrapText="1"/>
    </xf>
    <xf numFmtId="0" fontId="233" fillId="75" borderId="0" applyNumberFormat="0" applyBorder="0" applyProtection="0">
      <alignment horizontal="left" vertical="center" wrapText="1"/>
    </xf>
    <xf numFmtId="0" fontId="232" fillId="75" borderId="0">
      <alignment horizontal="left" vertical="center" wrapText="1"/>
    </xf>
    <xf numFmtId="0" fontId="232" fillId="75" borderId="0">
      <alignment horizontal="left" vertical="center" wrapText="1"/>
    </xf>
    <xf numFmtId="0" fontId="233" fillId="75" borderId="0" applyNumberFormat="0" applyBorder="0" applyProtection="0">
      <alignment horizontal="left" vertical="center" wrapText="1"/>
    </xf>
    <xf numFmtId="0" fontId="232" fillId="75" borderId="98">
      <alignment horizontal="left" vertical="center" wrapText="1"/>
    </xf>
    <xf numFmtId="0" fontId="233" fillId="75" borderId="98" applyNumberFormat="0" applyProtection="0">
      <alignment horizontal="left" vertical="center" wrapText="1"/>
    </xf>
    <xf numFmtId="49" fontId="226" fillId="86" borderId="97">
      <alignment vertical="center"/>
    </xf>
    <xf numFmtId="49" fontId="227" fillId="87" borderId="80">
      <alignment vertical="center"/>
    </xf>
    <xf numFmtId="49" fontId="227" fillId="87" borderId="80">
      <alignment vertical="center"/>
    </xf>
    <xf numFmtId="49" fontId="228" fillId="87" borderId="80" applyProtection="0">
      <alignment vertical="center"/>
    </xf>
    <xf numFmtId="49" fontId="229" fillId="89" borderId="80">
      <alignment vertical="center"/>
    </xf>
    <xf numFmtId="49" fontId="229" fillId="89" borderId="80">
      <alignment vertical="center"/>
    </xf>
    <xf numFmtId="49" fontId="230" fillId="89" borderId="80" applyProtection="0">
      <alignment vertical="center"/>
    </xf>
    <xf numFmtId="49" fontId="229" fillId="89" borderId="80">
      <alignment vertical="center"/>
    </xf>
    <xf numFmtId="49" fontId="229" fillId="89" borderId="80">
      <alignment vertical="center"/>
    </xf>
    <xf numFmtId="49" fontId="230" fillId="89" borderId="80" applyProtection="0">
      <alignment vertical="center"/>
    </xf>
    <xf numFmtId="49" fontId="227" fillId="87" borderId="80">
      <alignment vertical="center"/>
    </xf>
    <xf numFmtId="49" fontId="227" fillId="87" borderId="80">
      <alignment vertical="center"/>
    </xf>
    <xf numFmtId="49" fontId="228" fillId="87" borderId="80" applyProtection="0">
      <alignment vertical="center"/>
    </xf>
    <xf numFmtId="49" fontId="226" fillId="86" borderId="97">
      <alignment vertical="center"/>
    </xf>
    <xf numFmtId="49" fontId="231" fillId="86" borderId="97" applyProtection="0">
      <alignment vertical="center"/>
    </xf>
    <xf numFmtId="0" fontId="232" fillId="86" borderId="98">
      <alignment horizontal="left" vertical="center" wrapText="1"/>
    </xf>
    <xf numFmtId="0" fontId="232" fillId="87" borderId="0">
      <alignment horizontal="left" vertical="center" wrapText="1"/>
    </xf>
    <xf numFmtId="0" fontId="232" fillId="87" borderId="0">
      <alignment horizontal="left" vertical="center" wrapText="1"/>
    </xf>
    <xf numFmtId="0" fontId="233" fillId="87" borderId="0" applyNumberFormat="0" applyBorder="0" applyProtection="0">
      <alignment horizontal="left" vertical="center" wrapText="1"/>
    </xf>
    <xf numFmtId="0" fontId="232" fillId="89" borderId="0">
      <alignment horizontal="left" vertical="center" wrapText="1"/>
    </xf>
    <xf numFmtId="0" fontId="232" fillId="89" borderId="0">
      <alignment horizontal="left" vertical="center" wrapText="1"/>
    </xf>
    <xf numFmtId="0" fontId="233" fillId="89" borderId="0" applyNumberFormat="0" applyBorder="0" applyProtection="0">
      <alignment horizontal="left" vertical="center" wrapText="1"/>
    </xf>
    <xf numFmtId="0" fontId="232" fillId="89" borderId="0">
      <alignment horizontal="left" vertical="center" wrapText="1"/>
    </xf>
    <xf numFmtId="0" fontId="232" fillId="89" borderId="0">
      <alignment horizontal="left" vertical="center" wrapText="1"/>
    </xf>
    <xf numFmtId="0" fontId="233" fillId="89" borderId="0" applyNumberFormat="0" applyBorder="0" applyProtection="0">
      <alignment horizontal="left" vertical="center" wrapText="1"/>
    </xf>
    <xf numFmtId="0" fontId="232" fillId="87" borderId="0">
      <alignment horizontal="left" vertical="center" wrapText="1"/>
    </xf>
    <xf numFmtId="0" fontId="232" fillId="87" borderId="0">
      <alignment horizontal="left" vertical="center" wrapText="1"/>
    </xf>
    <xf numFmtId="0" fontId="233" fillId="87" borderId="0" applyNumberFormat="0" applyBorder="0" applyProtection="0">
      <alignment horizontal="left" vertical="center" wrapText="1"/>
    </xf>
    <xf numFmtId="0" fontId="232" fillId="86" borderId="98">
      <alignment horizontal="left" vertical="center" wrapText="1"/>
    </xf>
    <xf numFmtId="0" fontId="233" fillId="86" borderId="98" applyNumberFormat="0" applyProtection="0">
      <alignment horizontal="left" vertical="center" wrapText="1"/>
    </xf>
    <xf numFmtId="0" fontId="78" fillId="91" borderId="0"/>
    <xf numFmtId="0" fontId="78" fillId="91" borderId="0"/>
    <xf numFmtId="0" fontId="79" fillId="91" borderId="0" applyNumberFormat="0" applyBorder="0" applyProtection="0"/>
    <xf numFmtId="0" fontId="236" fillId="0" borderId="0"/>
    <xf numFmtId="0" fontId="237" fillId="0" borderId="0"/>
    <xf numFmtId="0" fontId="237" fillId="0" borderId="0" applyNumberFormat="0" applyBorder="0" applyProtection="0"/>
    <xf numFmtId="0" fontId="150" fillId="0" borderId="0"/>
    <xf numFmtId="0" fontId="151" fillId="0" borderId="0"/>
    <xf numFmtId="0" fontId="151" fillId="0" borderId="0" applyNumberFormat="0" applyBorder="0" applyProtection="0"/>
    <xf numFmtId="0" fontId="238" fillId="0" borderId="0"/>
    <xf numFmtId="0" fontId="238" fillId="0" borderId="0"/>
    <xf numFmtId="0" fontId="239" fillId="0" borderId="0" applyNumberFormat="0" applyBorder="0" applyProtection="0"/>
    <xf numFmtId="0" fontId="236" fillId="0" borderId="0"/>
    <xf numFmtId="0" fontId="237" fillId="0" borderId="0"/>
    <xf numFmtId="0" fontId="237" fillId="0" borderId="0" applyNumberFormat="0" applyBorder="0" applyProtection="0"/>
    <xf numFmtId="0" fontId="150" fillId="0" borderId="0"/>
    <xf numFmtId="0" fontId="151" fillId="0" borderId="0"/>
    <xf numFmtId="0" fontId="151" fillId="0" borderId="0" applyNumberFormat="0" applyBorder="0" applyProtection="0"/>
    <xf numFmtId="0" fontId="240" fillId="0" borderId="0"/>
    <xf numFmtId="0" fontId="240" fillId="0" borderId="0"/>
    <xf numFmtId="0" fontId="240" fillId="0" borderId="0" applyNumberFormat="0" applyBorder="0" applyProtection="0"/>
    <xf numFmtId="0" fontId="240" fillId="0" borderId="0"/>
    <xf numFmtId="0" fontId="154" fillId="0" borderId="89"/>
    <xf numFmtId="0" fontId="155" fillId="0" borderId="89"/>
    <xf numFmtId="0" fontId="155" fillId="0" borderId="89" applyNumberFormat="0" applyProtection="0"/>
    <xf numFmtId="0" fontId="156" fillId="0" borderId="90"/>
    <xf numFmtId="0" fontId="157" fillId="0" borderId="90"/>
    <xf numFmtId="0" fontId="157" fillId="0" borderId="90" applyNumberFormat="0" applyProtection="0"/>
    <xf numFmtId="0" fontId="138" fillId="0" borderId="91"/>
    <xf numFmtId="0" fontId="139" fillId="0" borderId="91"/>
    <xf numFmtId="0" fontId="139" fillId="0" borderId="91" applyNumberFormat="0" applyProtection="0"/>
    <xf numFmtId="0" fontId="138" fillId="0" borderId="0"/>
    <xf numFmtId="0" fontId="139" fillId="0" borderId="0"/>
    <xf numFmtId="0" fontId="139" fillId="0" borderId="0" applyNumberFormat="0" applyBorder="0" applyProtection="0"/>
    <xf numFmtId="0" fontId="240" fillId="0" borderId="0"/>
    <xf numFmtId="0" fontId="240" fillId="0" borderId="0" applyNumberFormat="0" applyBorder="0" applyProtection="0"/>
    <xf numFmtId="0" fontId="240" fillId="0" borderId="0"/>
    <xf numFmtId="0" fontId="241" fillId="0" borderId="99"/>
    <xf numFmtId="0" fontId="242" fillId="0" borderId="0"/>
    <xf numFmtId="0" fontId="242" fillId="0" borderId="0"/>
    <xf numFmtId="0" fontId="243" fillId="0" borderId="89"/>
    <xf numFmtId="0" fontId="244" fillId="0" borderId="89" applyNumberFormat="0" applyProtection="0"/>
    <xf numFmtId="0" fontId="242" fillId="0" borderId="0" applyNumberFormat="0" applyBorder="0" applyProtection="0"/>
    <xf numFmtId="0" fontId="245" fillId="0" borderId="0"/>
    <xf numFmtId="0" fontId="245" fillId="0" borderId="0"/>
    <xf numFmtId="0" fontId="245" fillId="0" borderId="0" applyNumberFormat="0" applyBorder="0" applyProtection="0"/>
    <xf numFmtId="0" fontId="246" fillId="0" borderId="99"/>
    <xf numFmtId="0" fontId="246" fillId="0" borderId="99" applyNumberFormat="0" applyProtection="0"/>
    <xf numFmtId="0" fontId="247" fillId="0" borderId="90"/>
    <xf numFmtId="0" fontId="248" fillId="0" borderId="0"/>
    <xf numFmtId="0" fontId="248" fillId="0" borderId="0"/>
    <xf numFmtId="0" fontId="249" fillId="0" borderId="90"/>
    <xf numFmtId="0" fontId="250" fillId="0" borderId="90" applyNumberFormat="0" applyProtection="0"/>
    <xf numFmtId="0" fontId="248" fillId="0" borderId="0" applyNumberFormat="0" applyBorder="0" applyProtection="0"/>
    <xf numFmtId="0" fontId="251" fillId="0" borderId="90"/>
    <xf numFmtId="0" fontId="252" fillId="0" borderId="90"/>
    <xf numFmtId="0" fontId="252" fillId="0" borderId="90" applyNumberFormat="0" applyProtection="0"/>
    <xf numFmtId="0" fontId="253" fillId="0" borderId="90"/>
    <xf numFmtId="0" fontId="253" fillId="0" borderId="90" applyNumberFormat="0" applyProtection="0"/>
    <xf numFmtId="0" fontId="254" fillId="0" borderId="100"/>
    <xf numFmtId="0" fontId="255" fillId="0" borderId="100"/>
    <xf numFmtId="0" fontId="256" fillId="0" borderId="100"/>
    <xf numFmtId="0" fontId="257" fillId="0" borderId="101"/>
    <xf numFmtId="0" fontId="258" fillId="0" borderId="101" applyNumberFormat="0" applyProtection="0"/>
    <xf numFmtId="0" fontId="256" fillId="0" borderId="100" applyNumberFormat="0" applyProtection="0"/>
    <xf numFmtId="0" fontId="259" fillId="0" borderId="100"/>
    <xf numFmtId="0" fontId="259" fillId="0" borderId="100" applyNumberFormat="0" applyProtection="0"/>
    <xf numFmtId="0" fontId="254" fillId="0" borderId="0"/>
    <xf numFmtId="0" fontId="255" fillId="0" borderId="0"/>
    <xf numFmtId="0" fontId="256" fillId="0" borderId="0"/>
    <xf numFmtId="0" fontId="257" fillId="0" borderId="0"/>
    <xf numFmtId="0" fontId="258" fillId="0" borderId="0" applyNumberFormat="0" applyBorder="0" applyProtection="0"/>
    <xf numFmtId="0" fontId="256" fillId="0" borderId="0" applyNumberFormat="0" applyBorder="0" applyProtection="0"/>
    <xf numFmtId="0" fontId="259" fillId="0" borderId="0"/>
    <xf numFmtId="0" fontId="259" fillId="0" borderId="0" applyNumberFormat="0" applyBorder="0" applyProtection="0"/>
    <xf numFmtId="0" fontId="240" fillId="0" borderId="0"/>
    <xf numFmtId="0" fontId="242" fillId="0" borderId="0"/>
    <xf numFmtId="0" fontId="242" fillId="0" borderId="0"/>
    <xf numFmtId="0" fontId="242" fillId="0" borderId="0" applyNumberFormat="0" applyBorder="0" applyProtection="0"/>
    <xf numFmtId="0" fontId="240" fillId="0" borderId="0"/>
    <xf numFmtId="0" fontId="240" fillId="0" borderId="0" applyNumberFormat="0" applyBorder="0" applyProtection="0"/>
    <xf numFmtId="0" fontId="260" fillId="86" borderId="0">
      <alignment horizontal="left" vertical="center"/>
      <protection locked="0"/>
    </xf>
    <xf numFmtId="0" fontId="78" fillId="82" borderId="0">
      <alignment horizontal="center"/>
      <protection locked="0"/>
    </xf>
    <xf numFmtId="0" fontId="78" fillId="82" borderId="0">
      <alignment horizontal="center"/>
      <protection locked="0"/>
    </xf>
    <xf numFmtId="0" fontId="79" fillId="82" borderId="0" applyNumberFormat="0" applyBorder="0">
      <alignment horizontal="center"/>
      <protection locked="0"/>
    </xf>
    <xf numFmtId="0" fontId="78" fillId="82" borderId="0">
      <alignment horizontal="center"/>
      <protection locked="0"/>
    </xf>
    <xf numFmtId="0" fontId="78" fillId="82" borderId="0">
      <alignment horizontal="center"/>
      <protection locked="0"/>
    </xf>
    <xf numFmtId="0" fontId="79" fillId="82" borderId="0" applyNumberFormat="0" applyBorder="0">
      <alignment horizontal="center"/>
      <protection locked="0"/>
    </xf>
    <xf numFmtId="0" fontId="78" fillId="82" borderId="0">
      <alignment horizontal="center"/>
      <protection locked="0"/>
    </xf>
    <xf numFmtId="0" fontId="78" fillId="82" borderId="0">
      <alignment horizontal="center"/>
      <protection locked="0"/>
    </xf>
    <xf numFmtId="0" fontId="79" fillId="82" borderId="0" applyNumberFormat="0" applyBorder="0">
      <alignment horizontal="center"/>
      <protection locked="0"/>
    </xf>
    <xf numFmtId="0" fontId="261" fillId="86" borderId="0">
      <alignment horizontal="left" vertical="center"/>
      <protection locked="0"/>
    </xf>
    <xf numFmtId="0" fontId="261" fillId="86" borderId="0" applyNumberFormat="0" applyBorder="0">
      <alignment horizontal="left" vertical="center"/>
      <protection locked="0"/>
    </xf>
    <xf numFmtId="0" fontId="143" fillId="82" borderId="0">
      <alignment horizontal="center"/>
      <protection locked="0"/>
    </xf>
    <xf numFmtId="0" fontId="143" fillId="82" borderId="0">
      <alignment horizontal="center"/>
      <protection locked="0"/>
    </xf>
    <xf numFmtId="0" fontId="143" fillId="82" borderId="0">
      <alignment horizontal="center"/>
      <protection locked="0"/>
    </xf>
    <xf numFmtId="0" fontId="144" fillId="82" borderId="0" applyNumberFormat="0" applyBorder="0">
      <alignment horizontal="center"/>
      <protection locked="0"/>
    </xf>
    <xf numFmtId="0" fontId="143" fillId="82" borderId="0">
      <alignment horizontal="center"/>
      <protection locked="0"/>
    </xf>
    <xf numFmtId="0" fontId="143" fillId="82" borderId="0">
      <alignment horizontal="center"/>
      <protection locked="0"/>
    </xf>
    <xf numFmtId="0" fontId="144" fillId="82" borderId="0" applyNumberFormat="0" applyBorder="0">
      <alignment horizontal="center"/>
      <protection locked="0"/>
    </xf>
    <xf numFmtId="0" fontId="143" fillId="82" borderId="0">
      <alignment horizontal="center"/>
      <protection locked="0"/>
    </xf>
    <xf numFmtId="0" fontId="144" fillId="82" borderId="0" applyNumberFormat="0" applyBorder="0">
      <alignment horizontal="center"/>
      <protection locked="0"/>
    </xf>
    <xf numFmtId="0" fontId="262" fillId="82" borderId="0">
      <alignment horizontal="left"/>
      <protection locked="0"/>
    </xf>
    <xf numFmtId="0" fontId="78" fillId="82" borderId="0">
      <alignment horizontal="left"/>
      <protection locked="0"/>
    </xf>
    <xf numFmtId="0" fontId="78" fillId="82" borderId="0">
      <alignment horizontal="left"/>
      <protection locked="0"/>
    </xf>
    <xf numFmtId="0" fontId="79" fillId="82" borderId="0" applyNumberFormat="0" applyBorder="0">
      <alignment horizontal="left"/>
      <protection locked="0"/>
    </xf>
    <xf numFmtId="0" fontId="78" fillId="82" borderId="0">
      <alignment horizontal="left"/>
      <protection locked="0"/>
    </xf>
    <xf numFmtId="0" fontId="78" fillId="82" borderId="0">
      <alignment horizontal="left"/>
      <protection locked="0"/>
    </xf>
    <xf numFmtId="0" fontId="79" fillId="82" borderId="0" applyNumberFormat="0" applyBorder="0">
      <alignment horizontal="left"/>
      <protection locked="0"/>
    </xf>
    <xf numFmtId="0" fontId="78" fillId="82" borderId="0">
      <alignment horizontal="left"/>
      <protection locked="0"/>
    </xf>
    <xf numFmtId="0" fontId="78" fillId="82" borderId="0">
      <alignment horizontal="left"/>
      <protection locked="0"/>
    </xf>
    <xf numFmtId="0" fontId="79" fillId="82" borderId="0" applyNumberFormat="0" applyBorder="0">
      <alignment horizontal="left"/>
      <protection locked="0"/>
    </xf>
    <xf numFmtId="0" fontId="78" fillId="82" borderId="0">
      <alignment horizontal="left"/>
      <protection locked="0"/>
    </xf>
    <xf numFmtId="0" fontId="78" fillId="82" borderId="0">
      <alignment horizontal="left"/>
      <protection locked="0"/>
    </xf>
    <xf numFmtId="0" fontId="79" fillId="82" borderId="0" applyNumberFormat="0" applyBorder="0">
      <alignment horizontal="left"/>
      <protection locked="0"/>
    </xf>
    <xf numFmtId="0" fontId="263" fillId="82" borderId="0">
      <alignment horizontal="left"/>
      <protection locked="0"/>
    </xf>
    <xf numFmtId="0" fontId="263" fillId="82" borderId="0" applyNumberFormat="0" applyBorder="0">
      <alignment horizontal="left"/>
      <protection locked="0"/>
    </xf>
    <xf numFmtId="0" fontId="78" fillId="82" borderId="0">
      <alignment horizontal="left"/>
      <protection locked="0"/>
    </xf>
    <xf numFmtId="0" fontId="264" fillId="82" borderId="0">
      <alignment horizontal="left"/>
      <protection locked="0"/>
    </xf>
    <xf numFmtId="0" fontId="264" fillId="82" borderId="0">
      <alignment horizontal="left"/>
      <protection locked="0"/>
    </xf>
    <xf numFmtId="0" fontId="264" fillId="82" borderId="0">
      <alignment horizontal="left"/>
      <protection locked="0"/>
    </xf>
    <xf numFmtId="0" fontId="265" fillId="82" borderId="0" applyNumberFormat="0" applyBorder="0">
      <alignment horizontal="left"/>
      <protection locked="0"/>
    </xf>
    <xf numFmtId="0" fontId="264" fillId="82" borderId="0">
      <alignment horizontal="left"/>
      <protection locked="0"/>
    </xf>
    <xf numFmtId="0" fontId="264" fillId="82" borderId="0">
      <alignment horizontal="left"/>
      <protection locked="0"/>
    </xf>
    <xf numFmtId="0" fontId="265" fillId="82" borderId="0" applyNumberFormat="0" applyBorder="0">
      <alignment horizontal="left"/>
      <protection locked="0"/>
    </xf>
    <xf numFmtId="0" fontId="264" fillId="82" borderId="0">
      <alignment horizontal="left"/>
      <protection locked="0"/>
    </xf>
    <xf numFmtId="0" fontId="265" fillId="82" borderId="0" applyNumberFormat="0" applyBorder="0">
      <alignment horizontal="left"/>
      <protection locked="0"/>
    </xf>
    <xf numFmtId="0" fontId="242" fillId="0" borderId="0"/>
    <xf numFmtId="0" fontId="266" fillId="0" borderId="0"/>
    <xf numFmtId="0" fontId="266" fillId="0" borderId="0"/>
    <xf numFmtId="0" fontId="266" fillId="0" borderId="0" applyNumberFormat="0" applyBorder="0" applyProtection="0"/>
    <xf numFmtId="0" fontId="242" fillId="0" borderId="0"/>
    <xf numFmtId="0" fontId="242" fillId="0" borderId="0" applyNumberFormat="0" applyBorder="0" applyProtection="0"/>
    <xf numFmtId="0" fontId="243" fillId="0" borderId="89"/>
    <xf numFmtId="0" fontId="243" fillId="0" borderId="89"/>
    <xf numFmtId="0" fontId="244" fillId="0" borderId="89" applyNumberFormat="0" applyProtection="0"/>
    <xf numFmtId="0" fontId="249" fillId="0" borderId="90"/>
    <xf numFmtId="0" fontId="249" fillId="0" borderId="90"/>
    <xf numFmtId="0" fontId="250" fillId="0" borderId="90" applyNumberFormat="0" applyProtection="0"/>
    <xf numFmtId="0" fontId="257" fillId="0" borderId="101"/>
    <xf numFmtId="0" fontId="257" fillId="0" borderId="101"/>
    <xf numFmtId="0" fontId="258" fillId="0" borderId="101" applyNumberFormat="0" applyProtection="0"/>
    <xf numFmtId="0" fontId="257" fillId="0" borderId="0"/>
    <xf numFmtId="0" fontId="257" fillId="0" borderId="0"/>
    <xf numFmtId="0" fontId="258" fillId="0" borderId="0" applyNumberFormat="0" applyBorder="0" applyProtection="0"/>
    <xf numFmtId="0" fontId="240" fillId="0" borderId="0"/>
    <xf numFmtId="0" fontId="154" fillId="0" borderId="89"/>
    <xf numFmtId="0" fontId="155" fillId="0" borderId="89"/>
    <xf numFmtId="0" fontId="155" fillId="0" borderId="89" applyNumberFormat="0" applyProtection="0"/>
    <xf numFmtId="0" fontId="156" fillId="0" borderId="90"/>
    <xf numFmtId="0" fontId="157" fillId="0" borderId="90"/>
    <xf numFmtId="0" fontId="157" fillId="0" borderId="90" applyNumberFormat="0" applyProtection="0"/>
    <xf numFmtId="0" fontId="138" fillId="0" borderId="91"/>
    <xf numFmtId="0" fontId="139" fillId="0" borderId="91"/>
    <xf numFmtId="0" fontId="139" fillId="0" borderId="91" applyNumberFormat="0" applyProtection="0"/>
    <xf numFmtId="0" fontId="240" fillId="0" borderId="0"/>
    <xf numFmtId="0" fontId="240" fillId="0" borderId="0" applyNumberFormat="0" applyBorder="0" applyProtection="0"/>
    <xf numFmtId="0" fontId="140" fillId="82" borderId="0">
      <protection locked="0"/>
    </xf>
    <xf numFmtId="0" fontId="140" fillId="82" borderId="0">
      <protection locked="0"/>
    </xf>
    <xf numFmtId="0" fontId="203" fillId="82" borderId="0" applyNumberFormat="0" applyBorder="0">
      <protection locked="0"/>
    </xf>
    <xf numFmtId="0" fontId="78" fillId="0" borderId="63"/>
    <xf numFmtId="0" fontId="78" fillId="0" borderId="63"/>
    <xf numFmtId="0" fontId="79" fillId="0" borderId="102" applyNumberFormat="0" applyProtection="0"/>
    <xf numFmtId="0" fontId="267" fillId="0" borderId="103"/>
    <xf numFmtId="0" fontId="47" fillId="0" borderId="103"/>
    <xf numFmtId="0" fontId="47" fillId="0" borderId="104" applyNumberFormat="0" applyProtection="0"/>
    <xf numFmtId="0" fontId="96" fillId="88" borderId="0"/>
    <xf numFmtId="0" fontId="97" fillId="88" borderId="0"/>
    <xf numFmtId="0" fontId="97" fillId="88" borderId="0" applyNumberFormat="0" applyBorder="0" applyProtection="0"/>
    <xf numFmtId="0" fontId="102" fillId="75" borderId="0"/>
    <xf numFmtId="0" fontId="103" fillId="75" borderId="0"/>
    <xf numFmtId="0" fontId="103" fillId="75" borderId="0" applyNumberFormat="0" applyBorder="0" applyProtection="0"/>
    <xf numFmtId="0" fontId="268" fillId="109" borderId="59"/>
    <xf numFmtId="0" fontId="268" fillId="109" borderId="59"/>
    <xf numFmtId="0" fontId="269" fillId="109" borderId="65" applyNumberFormat="0" applyProtection="0"/>
    <xf numFmtId="0" fontId="270" fillId="103" borderId="59"/>
    <xf numFmtId="0" fontId="270" fillId="103" borderId="59"/>
    <xf numFmtId="0" fontId="271" fillId="103" borderId="59"/>
    <xf numFmtId="0" fontId="271" fillId="103" borderId="65" applyNumberFormat="0" applyProtection="0"/>
    <xf numFmtId="0" fontId="271" fillId="103" borderId="59"/>
    <xf numFmtId="0" fontId="271" fillId="103" borderId="65" applyNumberFormat="0" applyProtection="0"/>
    <xf numFmtId="2" fontId="78" fillId="0" borderId="0"/>
    <xf numFmtId="2" fontId="78" fillId="0" borderId="0"/>
    <xf numFmtId="2" fontId="78" fillId="0" borderId="0"/>
    <xf numFmtId="2" fontId="79" fillId="0" borderId="0" applyBorder="0" applyProtection="0"/>
    <xf numFmtId="2" fontId="78" fillId="0" borderId="0"/>
    <xf numFmtId="2" fontId="79" fillId="0" borderId="0" applyBorder="0" applyProtection="0"/>
    <xf numFmtId="195" fontId="78" fillId="0" borderId="0"/>
    <xf numFmtId="196" fontId="78" fillId="0" borderId="0"/>
    <xf numFmtId="0" fontId="236" fillId="0" borderId="0"/>
    <xf numFmtId="0" fontId="237" fillId="0" borderId="0"/>
    <xf numFmtId="0" fontId="237" fillId="0" borderId="0" applyNumberFormat="0" applyBorder="0" applyProtection="0"/>
    <xf numFmtId="0" fontId="272" fillId="0" borderId="0"/>
    <xf numFmtId="167" fontId="1" fillId="0" borderId="0" applyFont="0" applyFill="0" applyBorder="0" applyAlignment="0" applyProtection="0"/>
    <xf numFmtId="0" fontId="21" fillId="0" borderId="0">
      <alignment vertical="top"/>
    </xf>
    <xf numFmtId="43" fontId="1" fillId="0" borderId="0" applyFont="0" applyFill="0" applyBorder="0" applyAlignment="0" applyProtection="0"/>
    <xf numFmtId="0" fontId="284" fillId="0" borderId="0"/>
    <xf numFmtId="167" fontId="1" fillId="0" borderId="0" applyFont="0" applyFill="0" applyBorder="0" applyAlignment="0" applyProtection="0"/>
    <xf numFmtId="0" fontId="285" fillId="0" borderId="0" applyNumberFormat="0" applyFill="0" applyBorder="0" applyProtection="0">
      <alignment horizontal="center"/>
    </xf>
    <xf numFmtId="208" fontId="21" fillId="0" borderId="0" applyFill="0" applyBorder="0" applyAlignment="0" applyProtection="0"/>
    <xf numFmtId="0" fontId="286" fillId="0" borderId="0" applyNumberFormat="0" applyFill="0" applyBorder="0" applyAlignment="0" applyProtection="0"/>
    <xf numFmtId="209" fontId="286" fillId="0" borderId="0" applyFill="0" applyBorder="0" applyAlignment="0" applyProtection="0"/>
    <xf numFmtId="0" fontId="285" fillId="0" borderId="0" applyNumberFormat="0" applyFill="0" applyBorder="0" applyProtection="0">
      <alignment horizontal="center" textRotation="90"/>
    </xf>
    <xf numFmtId="0" fontId="21" fillId="0" borderId="0"/>
    <xf numFmtId="208" fontId="21" fillId="0" borderId="0" applyFill="0" applyBorder="0" applyAlignment="0" applyProtection="0"/>
    <xf numFmtId="0" fontId="21" fillId="0" borderId="0"/>
    <xf numFmtId="208" fontId="21" fillId="0" borderId="0" applyFill="0" applyBorder="0" applyAlignment="0" applyProtection="0"/>
    <xf numFmtId="0" fontId="21" fillId="0" borderId="0"/>
    <xf numFmtId="208" fontId="21" fillId="0" borderId="0" applyFill="0" applyBorder="0" applyAlignment="0" applyProtection="0"/>
    <xf numFmtId="0" fontId="283" fillId="4" borderId="0" applyNumberFormat="0" applyBorder="0" applyAlignment="0" applyProtection="0"/>
    <xf numFmtId="43" fontId="1" fillId="0" borderId="0" applyFont="0" applyFill="0" applyBorder="0" applyAlignment="0" applyProtection="0"/>
    <xf numFmtId="0" fontId="21" fillId="0" borderId="0"/>
    <xf numFmtId="43" fontId="1" fillId="0" borderId="0" applyFont="0" applyFill="0" applyBorder="0" applyAlignment="0" applyProtection="0"/>
  </cellStyleXfs>
  <cellXfs count="685">
    <xf numFmtId="0" fontId="0" fillId="0" borderId="0" xfId="0"/>
    <xf numFmtId="0" fontId="0" fillId="0" borderId="0" xfId="0" applyAlignment="1">
      <alignment wrapText="1"/>
    </xf>
    <xf numFmtId="0" fontId="0" fillId="0" borderId="0" xfId="0" applyBorder="1"/>
    <xf numFmtId="0" fontId="0" fillId="0" borderId="0" xfId="0" applyAlignment="1">
      <alignment vertical="center"/>
    </xf>
    <xf numFmtId="0" fontId="22" fillId="43" borderId="0" xfId="0" applyFont="1" applyFill="1" applyAlignment="1">
      <alignment horizontal="center"/>
    </xf>
    <xf numFmtId="0" fontId="23" fillId="43" borderId="0" xfId="0" applyFont="1" applyFill="1"/>
    <xf numFmtId="0" fontId="24" fillId="43" borderId="0" xfId="0" applyFont="1" applyFill="1"/>
    <xf numFmtId="0" fontId="26" fillId="39" borderId="0" xfId="0" applyFont="1" applyFill="1" applyAlignment="1">
      <alignment horizontal="left"/>
    </xf>
    <xf numFmtId="0" fontId="27" fillId="39" borderId="0" xfId="0" applyFont="1" applyFill="1" applyAlignment="1">
      <alignment horizontal="left"/>
    </xf>
    <xf numFmtId="0" fontId="28" fillId="39" borderId="0" xfId="0" applyFont="1" applyFill="1"/>
    <xf numFmtId="0" fontId="26" fillId="39" borderId="0" xfId="0" applyFont="1" applyFill="1"/>
    <xf numFmtId="0" fontId="26" fillId="39" borderId="0" xfId="152" applyNumberFormat="1" applyFont="1" applyFill="1"/>
    <xf numFmtId="164" fontId="26" fillId="39" borderId="0" xfId="152" applyNumberFormat="1" applyFont="1" applyFill="1"/>
    <xf numFmtId="0" fontId="29" fillId="44" borderId="0" xfId="0" applyFont="1" applyFill="1"/>
    <xf numFmtId="0" fontId="30" fillId="44" borderId="0" xfId="0" applyFont="1" applyFill="1"/>
    <xf numFmtId="0" fontId="31" fillId="0" borderId="0" xfId="0" applyFont="1" applyAlignment="1">
      <alignment horizontal="center" vertical="center" wrapText="1"/>
    </xf>
    <xf numFmtId="0" fontId="32" fillId="0" borderId="10" xfId="0" applyFont="1" applyBorder="1" applyAlignment="1">
      <alignment horizontal="center"/>
    </xf>
    <xf numFmtId="0" fontId="32" fillId="0" borderId="10" xfId="0" applyFont="1" applyBorder="1" applyAlignment="1">
      <alignment horizontal="center" wrapText="1"/>
    </xf>
    <xf numFmtId="0" fontId="33" fillId="0" borderId="10" xfId="0" applyFont="1" applyBorder="1"/>
    <xf numFmtId="165" fontId="34" fillId="0" borderId="10" xfId="0" applyNumberFormat="1" applyFont="1" applyBorder="1"/>
    <xf numFmtId="1" fontId="34" fillId="0" borderId="10" xfId="0" applyNumberFormat="1" applyFont="1" applyBorder="1"/>
    <xf numFmtId="0" fontId="35" fillId="0" borderId="10" xfId="0" applyFont="1" applyBorder="1"/>
    <xf numFmtId="165" fontId="36" fillId="0" borderId="10" xfId="0" applyNumberFormat="1" applyFont="1" applyBorder="1"/>
    <xf numFmtId="0" fontId="33" fillId="45" borderId="10" xfId="0" applyFont="1" applyFill="1" applyBorder="1"/>
    <xf numFmtId="1" fontId="33" fillId="45" borderId="10" xfId="0" applyNumberFormat="1" applyFont="1" applyFill="1" applyBorder="1"/>
    <xf numFmtId="0" fontId="37" fillId="39" borderId="0" xfId="0" applyFont="1" applyFill="1"/>
    <xf numFmtId="9" fontId="37" fillId="39" borderId="0" xfId="152" applyFont="1" applyFill="1"/>
    <xf numFmtId="2" fontId="37" fillId="39" borderId="0" xfId="0" applyNumberFormat="1" applyFont="1" applyFill="1"/>
    <xf numFmtId="0" fontId="38" fillId="46" borderId="0" xfId="0" applyFont="1" applyFill="1"/>
    <xf numFmtId="0" fontId="39" fillId="46" borderId="0" xfId="0" applyFont="1" applyFill="1"/>
    <xf numFmtId="0" fontId="34" fillId="0" borderId="10" xfId="0" applyFont="1" applyBorder="1" applyAlignment="1">
      <alignment vertical="center" wrapText="1"/>
    </xf>
    <xf numFmtId="169" fontId="34" fillId="0" borderId="10" xfId="0" applyNumberFormat="1" applyFont="1" applyBorder="1" applyAlignment="1">
      <alignment vertical="center"/>
    </xf>
    <xf numFmtId="0" fontId="33" fillId="47" borderId="15" xfId="0" applyFont="1" applyFill="1" applyBorder="1" applyAlignment="1">
      <alignment horizontal="left"/>
    </xf>
    <xf numFmtId="165" fontId="33" fillId="47" borderId="10" xfId="0" applyNumberFormat="1" applyFont="1" applyFill="1" applyBorder="1"/>
    <xf numFmtId="0" fontId="27" fillId="39" borderId="0" xfId="0" applyFont="1" applyFill="1" applyAlignment="1">
      <alignment horizontal="right"/>
    </xf>
    <xf numFmtId="165" fontId="27" fillId="39" borderId="0" xfId="0" applyNumberFormat="1" applyFont="1" applyFill="1"/>
    <xf numFmtId="9" fontId="26" fillId="39" borderId="0" xfId="152" applyFont="1" applyFill="1"/>
    <xf numFmtId="0" fontId="40" fillId="48" borderId="0" xfId="0" applyFont="1" applyFill="1"/>
    <xf numFmtId="0" fontId="39" fillId="48" borderId="0" xfId="0" applyFont="1" applyFill="1"/>
    <xf numFmtId="0" fontId="34" fillId="39" borderId="10" xfId="0" applyFont="1" applyFill="1" applyBorder="1" applyAlignment="1">
      <alignment vertical="center" wrapText="1"/>
    </xf>
    <xf numFmtId="0" fontId="33" fillId="49" borderId="15" xfId="0" applyFont="1" applyFill="1" applyBorder="1" applyAlignment="1">
      <alignment horizontal="left"/>
    </xf>
    <xf numFmtId="0" fontId="34" fillId="39" borderId="0" xfId="0" applyFont="1" applyFill="1"/>
    <xf numFmtId="0" fontId="38" fillId="50" borderId="0" xfId="0" applyFont="1" applyFill="1"/>
    <xf numFmtId="0" fontId="39" fillId="50" borderId="0" xfId="0" applyFont="1" applyFill="1"/>
    <xf numFmtId="0" fontId="33" fillId="51" borderId="15" xfId="0" applyFont="1" applyFill="1" applyBorder="1" applyAlignment="1">
      <alignment horizontal="left"/>
    </xf>
    <xf numFmtId="165" fontId="33" fillId="51" borderId="10" xfId="0" applyNumberFormat="1" applyFont="1" applyFill="1" applyBorder="1"/>
    <xf numFmtId="0" fontId="38" fillId="52" borderId="0" xfId="0" applyFont="1" applyFill="1"/>
    <xf numFmtId="0" fontId="39" fillId="52" borderId="0" xfId="0" applyFont="1" applyFill="1"/>
    <xf numFmtId="0" fontId="33" fillId="53" borderId="10" xfId="0" applyFont="1" applyFill="1" applyBorder="1" applyAlignment="1">
      <alignment vertical="center" wrapText="1"/>
    </xf>
    <xf numFmtId="169" fontId="33" fillId="53" borderId="10" xfId="0" applyNumberFormat="1" applyFont="1" applyFill="1" applyBorder="1" applyAlignment="1">
      <alignment vertical="center"/>
    </xf>
    <xf numFmtId="0" fontId="35" fillId="54" borderId="15" xfId="0" applyFont="1" applyFill="1" applyBorder="1" applyAlignment="1">
      <alignment horizontal="left"/>
    </xf>
    <xf numFmtId="169" fontId="35" fillId="54" borderId="10" xfId="0" applyNumberFormat="1" applyFont="1" applyFill="1" applyBorder="1"/>
    <xf numFmtId="0" fontId="38" fillId="55" borderId="0" xfId="0" applyFont="1" applyFill="1"/>
    <xf numFmtId="0" fontId="39" fillId="55" borderId="0" xfId="0" applyFont="1" applyFill="1"/>
    <xf numFmtId="0" fontId="33" fillId="56" borderId="15" xfId="0" applyFont="1" applyFill="1" applyBorder="1" applyAlignment="1">
      <alignment horizontal="left"/>
    </xf>
    <xf numFmtId="165" fontId="33" fillId="56" borderId="10" xfId="0" applyNumberFormat="1" applyFont="1" applyFill="1" applyBorder="1"/>
    <xf numFmtId="0" fontId="33" fillId="57" borderId="10" xfId="0" applyFont="1" applyFill="1" applyBorder="1" applyAlignment="1">
      <alignment horizontal="left"/>
    </xf>
    <xf numFmtId="165" fontId="33" fillId="57" borderId="10" xfId="0" applyNumberFormat="1" applyFont="1" applyFill="1" applyBorder="1"/>
    <xf numFmtId="0" fontId="35" fillId="39" borderId="0" xfId="0" applyFont="1" applyFill="1" applyAlignment="1">
      <alignment horizontal="left"/>
    </xf>
    <xf numFmtId="165" fontId="35" fillId="39" borderId="0" xfId="0" applyNumberFormat="1" applyFont="1" applyFill="1"/>
    <xf numFmtId="0" fontId="40" fillId="58" borderId="0" xfId="0" applyFont="1" applyFill="1"/>
    <xf numFmtId="0" fontId="39" fillId="58" borderId="0" xfId="0" applyFont="1" applyFill="1"/>
    <xf numFmtId="0" fontId="33" fillId="59" borderId="15" xfId="0" applyFont="1" applyFill="1" applyBorder="1" applyAlignment="1">
      <alignment horizontal="left"/>
    </xf>
    <xf numFmtId="165" fontId="33" fillId="59" borderId="10" xfId="0" applyNumberFormat="1" applyFont="1" applyFill="1" applyBorder="1"/>
    <xf numFmtId="1" fontId="33" fillId="59" borderId="10" xfId="0" applyNumberFormat="1" applyFont="1" applyFill="1" applyBorder="1"/>
    <xf numFmtId="169" fontId="33" fillId="59" borderId="10" xfId="0" applyNumberFormat="1" applyFont="1" applyFill="1" applyBorder="1"/>
    <xf numFmtId="0" fontId="33" fillId="60" borderId="15" xfId="0" applyFont="1" applyFill="1" applyBorder="1" applyAlignment="1">
      <alignment horizontal="left"/>
    </xf>
    <xf numFmtId="165" fontId="33" fillId="60" borderId="10" xfId="0" applyNumberFormat="1" applyFont="1" applyFill="1" applyBorder="1"/>
    <xf numFmtId="169" fontId="33" fillId="60" borderId="10" xfId="0" applyNumberFormat="1" applyFont="1" applyFill="1" applyBorder="1"/>
    <xf numFmtId="0" fontId="41" fillId="39" borderId="0" xfId="0" applyFont="1" applyFill="1"/>
    <xf numFmtId="0" fontId="36" fillId="39" borderId="10" xfId="0" applyFont="1" applyFill="1" applyBorder="1" applyAlignment="1">
      <alignment vertical="center" wrapText="1"/>
    </xf>
    <xf numFmtId="169" fontId="36" fillId="0" borderId="10" xfId="0" applyNumberFormat="1" applyFont="1" applyBorder="1" applyAlignment="1">
      <alignment vertical="center"/>
    </xf>
    <xf numFmtId="0" fontId="36" fillId="39" borderId="15" xfId="0" applyFont="1" applyFill="1" applyBorder="1" applyAlignment="1">
      <alignment vertical="center" wrapText="1"/>
    </xf>
    <xf numFmtId="170" fontId="36" fillId="0" borderId="10" xfId="0" applyNumberFormat="1" applyFont="1" applyBorder="1" applyAlignment="1">
      <alignment vertical="center"/>
    </xf>
    <xf numFmtId="0" fontId="35" fillId="45" borderId="15" xfId="0" applyFont="1" applyFill="1" applyBorder="1" applyAlignment="1">
      <alignment horizontal="left"/>
    </xf>
    <xf numFmtId="165" fontId="35" fillId="45" borderId="10" xfId="0" applyNumberFormat="1" applyFont="1" applyFill="1" applyBorder="1"/>
    <xf numFmtId="169" fontId="35" fillId="45" borderId="10" xfId="0" applyNumberFormat="1" applyFont="1" applyFill="1" applyBorder="1"/>
    <xf numFmtId="0" fontId="40" fillId="61" borderId="0" xfId="0" applyFont="1" applyFill="1"/>
    <xf numFmtId="0" fontId="42" fillId="61" borderId="0" xfId="0" applyFont="1" applyFill="1"/>
    <xf numFmtId="0" fontId="33" fillId="62" borderId="15" xfId="0" applyFont="1" applyFill="1" applyBorder="1" applyAlignment="1">
      <alignment horizontal="left"/>
    </xf>
    <xf numFmtId="165" fontId="33" fillId="62" borderId="10" xfId="0" applyNumberFormat="1" applyFont="1" applyFill="1" applyBorder="1"/>
    <xf numFmtId="168" fontId="34" fillId="0" borderId="10" xfId="155" applyNumberFormat="1" applyFont="1" applyBorder="1"/>
    <xf numFmtId="168" fontId="36" fillId="0" borderId="10" xfId="155" applyNumberFormat="1" applyFont="1" applyBorder="1"/>
    <xf numFmtId="168" fontId="33" fillId="65" borderId="10" xfId="155" applyNumberFormat="1" applyFont="1" applyFill="1" applyBorder="1" applyAlignment="1">
      <alignment vertical="center"/>
    </xf>
    <xf numFmtId="168" fontId="33" fillId="66" borderId="10" xfId="155" applyNumberFormat="1" applyFont="1" applyFill="1" applyBorder="1"/>
    <xf numFmtId="169" fontId="41" fillId="39" borderId="0" xfId="0" applyNumberFormat="1" applyFont="1" applyFill="1"/>
    <xf numFmtId="0" fontId="31" fillId="0" borderId="10" xfId="0" applyFont="1" applyBorder="1" applyAlignment="1">
      <alignment horizontal="center"/>
    </xf>
    <xf numFmtId="168" fontId="0" fillId="0" borderId="0" xfId="0" applyNumberFormat="1"/>
    <xf numFmtId="168" fontId="33" fillId="65" borderId="10" xfId="155" applyNumberFormat="1" applyFont="1" applyFill="1" applyBorder="1" applyAlignment="1">
      <alignment horizontal="center" vertical="center"/>
    </xf>
    <xf numFmtId="0" fontId="0" fillId="40" borderId="0" xfId="0" applyFill="1" applyAlignment="1">
      <alignment wrapText="1"/>
    </xf>
    <xf numFmtId="0" fontId="45" fillId="39" borderId="10" xfId="0" applyFont="1" applyFill="1" applyBorder="1" applyAlignment="1">
      <alignment horizontal="right" vertical="center" wrapText="1"/>
    </xf>
    <xf numFmtId="0" fontId="44" fillId="0" borderId="0" xfId="0" applyFont="1"/>
    <xf numFmtId="169" fontId="45" fillId="0" borderId="10" xfId="0" applyNumberFormat="1" applyFont="1" applyBorder="1" applyAlignment="1">
      <alignment vertical="center"/>
    </xf>
    <xf numFmtId="166" fontId="45" fillId="0" borderId="10" xfId="153" applyNumberFormat="1" applyFont="1" applyBorder="1" applyAlignment="1">
      <alignment vertical="center"/>
    </xf>
    <xf numFmtId="4" fontId="34" fillId="0" borderId="10" xfId="0" applyNumberFormat="1" applyFont="1" applyBorder="1" applyAlignment="1">
      <alignment vertical="center"/>
    </xf>
    <xf numFmtId="0" fontId="46" fillId="67" borderId="0" xfId="0" applyFont="1" applyFill="1" applyBorder="1" applyAlignment="1">
      <alignment horizontal="center" vertical="center" wrapText="1"/>
    </xf>
    <xf numFmtId="0" fontId="48" fillId="69" borderId="10" xfId="0" applyFont="1" applyFill="1" applyBorder="1" applyAlignment="1">
      <alignment horizontal="center" vertical="center" wrapText="1"/>
    </xf>
    <xf numFmtId="168" fontId="34" fillId="0" borderId="10" xfId="155" applyNumberFormat="1" applyFont="1" applyBorder="1" applyAlignment="1">
      <alignment horizontal="center" vertical="center"/>
    </xf>
    <xf numFmtId="165" fontId="33" fillId="70" borderId="10" xfId="0" applyNumberFormat="1" applyFont="1" applyFill="1" applyBorder="1"/>
    <xf numFmtId="168" fontId="33" fillId="70" borderId="10" xfId="155" applyNumberFormat="1" applyFont="1" applyFill="1" applyBorder="1"/>
    <xf numFmtId="168" fontId="34" fillId="0" borderId="10" xfId="155" applyNumberFormat="1" applyFont="1" applyBorder="1" applyAlignment="1">
      <alignment vertical="center"/>
    </xf>
    <xf numFmtId="168" fontId="34" fillId="0" borderId="10" xfId="155" applyNumberFormat="1" applyFont="1" applyBorder="1" applyAlignment="1">
      <alignment horizontal="right" vertical="center"/>
    </xf>
    <xf numFmtId="168" fontId="33" fillId="56" borderId="10" xfId="155" applyNumberFormat="1" applyFont="1" applyFill="1" applyBorder="1" applyAlignment="1">
      <alignment vertical="center"/>
    </xf>
    <xf numFmtId="165" fontId="33" fillId="56" borderId="10" xfId="0" applyNumberFormat="1" applyFont="1" applyFill="1" applyBorder="1" applyAlignment="1">
      <alignment vertical="center"/>
    </xf>
    <xf numFmtId="168" fontId="33" fillId="57" borderId="10" xfId="155" applyNumberFormat="1" applyFont="1" applyFill="1" applyBorder="1" applyAlignment="1">
      <alignment vertical="center"/>
    </xf>
    <xf numFmtId="168" fontId="45" fillId="0" borderId="10" xfId="155" applyNumberFormat="1" applyFont="1" applyBorder="1" applyAlignment="1">
      <alignment vertical="center"/>
    </xf>
    <xf numFmtId="168" fontId="33" fillId="59" borderId="10" xfId="155" applyNumberFormat="1" applyFont="1" applyFill="1" applyBorder="1" applyAlignment="1">
      <alignment vertical="center"/>
    </xf>
    <xf numFmtId="168" fontId="33" fillId="60" borderId="10" xfId="155" applyNumberFormat="1" applyFont="1" applyFill="1" applyBorder="1" applyAlignment="1">
      <alignment vertical="center"/>
    </xf>
    <xf numFmtId="168" fontId="35" fillId="45" borderId="10" xfId="155" applyNumberFormat="1" applyFont="1" applyFill="1" applyBorder="1" applyAlignment="1">
      <alignment vertical="center"/>
    </xf>
    <xf numFmtId="168" fontId="33" fillId="62" borderId="10" xfId="155" applyNumberFormat="1" applyFont="1" applyFill="1" applyBorder="1" applyAlignment="1">
      <alignment vertical="center"/>
    </xf>
    <xf numFmtId="0" fontId="0" fillId="0" borderId="0" xfId="0" applyAlignment="1">
      <alignment horizontal="center"/>
    </xf>
    <xf numFmtId="0" fontId="0" fillId="71" borderId="0" xfId="0" applyFill="1" applyAlignment="1">
      <alignment vertical="center"/>
    </xf>
    <xf numFmtId="0" fontId="0" fillId="39" borderId="0" xfId="0" applyFill="1" applyAlignment="1">
      <alignment vertical="center"/>
    </xf>
    <xf numFmtId="0" fontId="53" fillId="39" borderId="0" xfId="0" applyFont="1" applyFill="1" applyAlignment="1">
      <alignment horizontal="left" vertical="top"/>
    </xf>
    <xf numFmtId="0" fontId="0" fillId="39" borderId="0" xfId="0" applyFill="1"/>
    <xf numFmtId="0" fontId="0" fillId="71" borderId="0" xfId="0" applyFill="1"/>
    <xf numFmtId="0" fontId="0" fillId="71" borderId="0" xfId="0" applyFill="1" applyAlignment="1"/>
    <xf numFmtId="0" fontId="0" fillId="71" borderId="0" xfId="0" applyFill="1" applyAlignment="1">
      <alignment horizontal="center"/>
    </xf>
    <xf numFmtId="0" fontId="0" fillId="73" borderId="0" xfId="0" applyFill="1"/>
    <xf numFmtId="0" fontId="0" fillId="71" borderId="19" xfId="0" applyFill="1" applyBorder="1"/>
    <xf numFmtId="0" fontId="0" fillId="71" borderId="20" xfId="0" applyFill="1" applyBorder="1" applyAlignment="1"/>
    <xf numFmtId="0" fontId="0" fillId="71" borderId="21" xfId="0" applyFill="1" applyBorder="1" applyAlignment="1"/>
    <xf numFmtId="0" fontId="0" fillId="71" borderId="22" xfId="0" applyFill="1" applyBorder="1"/>
    <xf numFmtId="0" fontId="0" fillId="71" borderId="24" xfId="0" applyFill="1" applyBorder="1"/>
    <xf numFmtId="0" fontId="51" fillId="71" borderId="0" xfId="0" applyFont="1" applyFill="1" applyAlignment="1">
      <alignment vertical="center"/>
    </xf>
    <xf numFmtId="0" fontId="51" fillId="71" borderId="0" xfId="0" applyFont="1" applyFill="1"/>
    <xf numFmtId="0" fontId="0" fillId="34" borderId="0" xfId="0" applyFill="1"/>
    <xf numFmtId="0" fontId="0" fillId="74" borderId="0" xfId="0" applyFill="1"/>
    <xf numFmtId="168" fontId="34" fillId="0" borderId="10" xfId="155" applyNumberFormat="1" applyFont="1" applyBorder="1" applyAlignment="1">
      <alignment horizontal="center" vertical="center"/>
    </xf>
    <xf numFmtId="0" fontId="15" fillId="71" borderId="22" xfId="0" applyFont="1" applyFill="1" applyBorder="1"/>
    <xf numFmtId="0" fontId="0" fillId="71" borderId="20" xfId="0" applyFill="1" applyBorder="1" applyAlignment="1">
      <alignment horizontal="center" vertical="center"/>
    </xf>
    <xf numFmtId="0" fontId="0" fillId="71" borderId="21" xfId="0" applyFill="1" applyBorder="1" applyAlignment="1">
      <alignment horizontal="center" vertical="center"/>
    </xf>
    <xf numFmtId="165" fontId="15" fillId="71" borderId="18" xfId="0" applyNumberFormat="1" applyFont="1" applyFill="1" applyBorder="1" applyAlignment="1">
      <alignment horizontal="center" vertical="center"/>
    </xf>
    <xf numFmtId="165" fontId="15" fillId="72" borderId="18" xfId="0" applyNumberFormat="1" applyFont="1" applyFill="1" applyBorder="1" applyAlignment="1">
      <alignment horizontal="center" vertical="center"/>
    </xf>
    <xf numFmtId="165" fontId="15" fillId="72" borderId="23" xfId="0" applyNumberFormat="1" applyFont="1" applyFill="1" applyBorder="1" applyAlignment="1">
      <alignment horizontal="center" vertical="center"/>
    </xf>
    <xf numFmtId="165" fontId="0" fillId="71" borderId="18" xfId="0" applyNumberFormat="1" applyFill="1" applyBorder="1" applyAlignment="1">
      <alignment horizontal="center" vertical="center"/>
    </xf>
    <xf numFmtId="165" fontId="0" fillId="72" borderId="18" xfId="0" applyNumberFormat="1" applyFill="1" applyBorder="1" applyAlignment="1">
      <alignment horizontal="center" vertical="center"/>
    </xf>
    <xf numFmtId="165" fontId="0" fillId="72" borderId="23" xfId="0" applyNumberFormat="1" applyFill="1" applyBorder="1" applyAlignment="1">
      <alignment horizontal="center" vertical="center"/>
    </xf>
    <xf numFmtId="165" fontId="0" fillId="71" borderId="25" xfId="0" applyNumberFormat="1" applyFill="1" applyBorder="1" applyAlignment="1">
      <alignment horizontal="center" vertical="center"/>
    </xf>
    <xf numFmtId="165" fontId="0" fillId="72" borderId="25" xfId="0" applyNumberFormat="1" applyFill="1" applyBorder="1" applyAlignment="1">
      <alignment horizontal="center" vertical="center"/>
    </xf>
    <xf numFmtId="165" fontId="0" fillId="72" borderId="26" xfId="0" applyNumberFormat="1" applyFill="1" applyBorder="1" applyAlignment="1">
      <alignment horizontal="center" vertical="center"/>
    </xf>
    <xf numFmtId="0" fontId="0" fillId="71" borderId="22" xfId="0" applyFill="1" applyBorder="1" applyAlignment="1">
      <alignment horizontal="right"/>
    </xf>
    <xf numFmtId="0" fontId="54" fillId="71" borderId="0" xfId="0" applyFont="1" applyFill="1" applyBorder="1" applyAlignment="1">
      <alignment horizontal="center" vertical="top"/>
    </xf>
    <xf numFmtId="1" fontId="15" fillId="71" borderId="18" xfId="0" applyNumberFormat="1" applyFont="1" applyFill="1" applyBorder="1" applyAlignment="1">
      <alignment horizontal="center" vertical="center"/>
    </xf>
    <xf numFmtId="165" fontId="33" fillId="49" borderId="10" xfId="0" applyNumberFormat="1" applyFont="1" applyFill="1" applyBorder="1"/>
    <xf numFmtId="165" fontId="33" fillId="64" borderId="10" xfId="155" applyNumberFormat="1" applyFont="1" applyFill="1" applyBorder="1"/>
    <xf numFmtId="1" fontId="33" fillId="45" borderId="17" xfId="0" applyNumberFormat="1" applyFont="1" applyFill="1" applyBorder="1"/>
    <xf numFmtId="169" fontId="0" fillId="0" borderId="0" xfId="0" applyNumberFormat="1"/>
    <xf numFmtId="0" fontId="0" fillId="0" borderId="0" xfId="0" applyAlignment="1">
      <alignment horizontal="center"/>
    </xf>
    <xf numFmtId="0" fontId="20" fillId="0" borderId="0" xfId="163"/>
    <xf numFmtId="0" fontId="50" fillId="0" borderId="0" xfId="0" applyFont="1" applyBorder="1" applyAlignment="1">
      <alignment horizontal="left"/>
    </xf>
    <xf numFmtId="0" fontId="55" fillId="0" borderId="0" xfId="0" applyFont="1"/>
    <xf numFmtId="0" fontId="56" fillId="0" borderId="0" xfId="163" applyFont="1" applyFill="1" applyBorder="1" applyAlignment="1">
      <alignment horizontal="center" vertical="center" wrapText="1"/>
    </xf>
    <xf numFmtId="4" fontId="60" fillId="0" borderId="10" xfId="0" applyNumberFormat="1" applyFont="1" applyBorder="1" applyAlignment="1">
      <alignment horizontal="center" vertical="center" wrapText="1"/>
    </xf>
    <xf numFmtId="0" fontId="60" fillId="0" borderId="10" xfId="0" applyFont="1" applyBorder="1" applyAlignment="1">
      <alignment horizontal="center" vertical="center" wrapText="1"/>
    </xf>
    <xf numFmtId="0" fontId="61" fillId="0" borderId="10" xfId="0" applyFont="1" applyBorder="1" applyAlignment="1">
      <alignment horizontal="left" vertical="center"/>
    </xf>
    <xf numFmtId="165" fontId="62" fillId="0" borderId="10" xfId="0" applyNumberFormat="1" applyFont="1" applyBorder="1" applyAlignment="1">
      <alignment horizontal="right"/>
    </xf>
    <xf numFmtId="165" fontId="61" fillId="39" borderId="10" xfId="0" applyNumberFormat="1" applyFont="1" applyFill="1" applyBorder="1" applyAlignment="1">
      <alignment horizontal="right"/>
    </xf>
    <xf numFmtId="165" fontId="59" fillId="39" borderId="10" xfId="0" applyNumberFormat="1" applyFont="1" applyFill="1" applyBorder="1" applyAlignment="1">
      <alignment horizontal="right"/>
    </xf>
    <xf numFmtId="0" fontId="59" fillId="64" borderId="10" xfId="0" applyFont="1" applyFill="1" applyBorder="1" applyAlignment="1">
      <alignment horizontal="left" vertical="center"/>
    </xf>
    <xf numFmtId="165" fontId="59" fillId="64" borderId="10" xfId="0" applyNumberFormat="1" applyFont="1" applyFill="1" applyBorder="1" applyAlignment="1">
      <alignment horizontal="right"/>
    </xf>
    <xf numFmtId="0" fontId="59" fillId="0" borderId="15" xfId="0" applyFont="1" applyBorder="1" applyAlignment="1">
      <alignment horizontal="left" vertical="center"/>
    </xf>
    <xf numFmtId="165" fontId="59" fillId="0" borderId="15" xfId="0" applyNumberFormat="1" applyFont="1" applyBorder="1" applyAlignment="1">
      <alignment horizontal="right"/>
    </xf>
    <xf numFmtId="0" fontId="62" fillId="0" borderId="10" xfId="0" applyFont="1" applyBorder="1" applyAlignment="1">
      <alignment horizontal="left" vertical="center"/>
    </xf>
    <xf numFmtId="165" fontId="58" fillId="0" borderId="10" xfId="0" applyNumberFormat="1" applyFont="1" applyBorder="1" applyAlignment="1">
      <alignment horizontal="right"/>
    </xf>
    <xf numFmtId="165" fontId="62" fillId="39" borderId="10" xfId="0" applyNumberFormat="1" applyFont="1" applyFill="1" applyBorder="1" applyAlignment="1">
      <alignment horizontal="right"/>
    </xf>
    <xf numFmtId="165" fontId="58" fillId="39" borderId="10" xfId="0" applyNumberFormat="1" applyFont="1" applyFill="1" applyBorder="1" applyAlignment="1">
      <alignment horizontal="right"/>
    </xf>
    <xf numFmtId="165" fontId="58" fillId="64" borderId="10" xfId="0" applyNumberFormat="1" applyFont="1" applyFill="1" applyBorder="1" applyAlignment="1">
      <alignment horizontal="right"/>
    </xf>
    <xf numFmtId="165" fontId="58" fillId="0" borderId="15" xfId="0" applyNumberFormat="1" applyFont="1" applyBorder="1" applyAlignment="1">
      <alignment horizontal="right"/>
    </xf>
    <xf numFmtId="165" fontId="0" fillId="39" borderId="0" xfId="0" applyNumberFormat="1" applyFill="1"/>
    <xf numFmtId="0" fontId="61" fillId="0" borderId="16" xfId="0" applyFont="1" applyBorder="1" applyAlignment="1">
      <alignment horizontal="left" vertical="center"/>
    </xf>
    <xf numFmtId="0" fontId="59" fillId="64" borderId="16" xfId="0" applyFont="1" applyFill="1" applyBorder="1" applyAlignment="1">
      <alignment horizontal="left" vertical="center"/>
    </xf>
    <xf numFmtId="0" fontId="62" fillId="0" borderId="16" xfId="0" applyFont="1" applyBorder="1" applyAlignment="1">
      <alignment horizontal="left" vertical="center"/>
    </xf>
    <xf numFmtId="0" fontId="0" fillId="0" borderId="0" xfId="0" applyAlignment="1">
      <alignment horizontal="center"/>
    </xf>
    <xf numFmtId="9" fontId="0" fillId="72" borderId="18" xfId="152" applyFont="1" applyFill="1" applyBorder="1" applyAlignment="1">
      <alignment horizontal="center" vertical="center"/>
    </xf>
    <xf numFmtId="9" fontId="0" fillId="72" borderId="30" xfId="152" applyFont="1" applyFill="1" applyBorder="1" applyAlignment="1">
      <alignment horizontal="center" vertical="center"/>
    </xf>
    <xf numFmtId="9" fontId="0" fillId="72" borderId="25" xfId="152" applyFont="1" applyFill="1" applyBorder="1" applyAlignment="1">
      <alignment horizontal="center" vertical="center"/>
    </xf>
    <xf numFmtId="9" fontId="0" fillId="71" borderId="18" xfId="152" applyFont="1" applyFill="1" applyBorder="1" applyAlignment="1">
      <alignment horizontal="center" vertical="center"/>
    </xf>
    <xf numFmtId="0" fontId="0" fillId="0" borderId="0" xfId="0" applyAlignment="1">
      <alignment horizontal="center"/>
    </xf>
    <xf numFmtId="0" fontId="0" fillId="71" borderId="22" xfId="0" applyFont="1" applyFill="1" applyBorder="1"/>
    <xf numFmtId="9" fontId="1" fillId="71" borderId="18" xfId="152" applyFont="1" applyFill="1" applyBorder="1" applyAlignment="1">
      <alignment horizontal="center" vertical="center"/>
    </xf>
    <xf numFmtId="9" fontId="1" fillId="72" borderId="18" xfId="152" applyFont="1" applyFill="1" applyBorder="1" applyAlignment="1">
      <alignment horizontal="center" vertical="center"/>
    </xf>
    <xf numFmtId="2" fontId="15" fillId="71" borderId="18" xfId="152" applyNumberFormat="1" applyFont="1" applyFill="1" applyBorder="1" applyAlignment="1">
      <alignment horizontal="center" vertical="center"/>
    </xf>
    <xf numFmtId="2" fontId="15" fillId="72" borderId="18" xfId="152" applyNumberFormat="1" applyFont="1" applyFill="1" applyBorder="1" applyAlignment="1">
      <alignment horizontal="center" vertical="center"/>
    </xf>
    <xf numFmtId="0" fontId="61" fillId="0" borderId="0" xfId="0" applyFont="1"/>
    <xf numFmtId="165" fontId="0" fillId="71" borderId="18" xfId="0" applyNumberFormat="1" applyFill="1" applyBorder="1"/>
    <xf numFmtId="165" fontId="0" fillId="72" borderId="18" xfId="0" applyNumberFormat="1" applyFill="1" applyBorder="1"/>
    <xf numFmtId="165" fontId="0" fillId="72" borderId="23" xfId="0" applyNumberFormat="1" applyFill="1" applyBorder="1"/>
    <xf numFmtId="0" fontId="59" fillId="0" borderId="14" xfId="0" applyFont="1" applyBorder="1" applyAlignment="1">
      <alignment horizontal="left" vertical="center"/>
    </xf>
    <xf numFmtId="3" fontId="66" fillId="0" borderId="0" xfId="0" applyNumberFormat="1" applyFont="1" applyAlignment="1">
      <alignment horizontal="center" vertical="center"/>
    </xf>
    <xf numFmtId="0" fontId="66" fillId="0" borderId="0" xfId="0" applyFont="1" applyAlignment="1">
      <alignment horizontal="center" vertical="center"/>
    </xf>
    <xf numFmtId="0" fontId="66" fillId="0" borderId="0" xfId="0" applyFont="1" applyAlignment="1">
      <alignment vertical="center"/>
    </xf>
    <xf numFmtId="0" fontId="15" fillId="71" borderId="31" xfId="0" applyFont="1" applyFill="1" applyBorder="1"/>
    <xf numFmtId="0" fontId="0" fillId="71" borderId="31" xfId="0" applyFill="1" applyBorder="1"/>
    <xf numFmtId="165" fontId="15" fillId="72" borderId="37" xfId="0" applyNumberFormat="1" applyFont="1" applyFill="1" applyBorder="1" applyAlignment="1">
      <alignment horizontal="center" vertical="center"/>
    </xf>
    <xf numFmtId="165" fontId="0" fillId="72" borderId="37" xfId="0" applyNumberFormat="1" applyFill="1" applyBorder="1" applyAlignment="1">
      <alignment horizontal="center" vertical="center"/>
    </xf>
    <xf numFmtId="0" fontId="0" fillId="71" borderId="41" xfId="0" applyFill="1" applyBorder="1"/>
    <xf numFmtId="165" fontId="0" fillId="71" borderId="30" xfId="0" applyNumberFormat="1" applyFill="1" applyBorder="1" applyAlignment="1">
      <alignment horizontal="center" vertical="center"/>
    </xf>
    <xf numFmtId="165" fontId="0" fillId="72" borderId="30" xfId="0" applyNumberFormat="1" applyFill="1" applyBorder="1" applyAlignment="1">
      <alignment horizontal="center" vertical="center"/>
    </xf>
    <xf numFmtId="165" fontId="0" fillId="72" borderId="42" xfId="0" applyNumberFormat="1" applyFill="1" applyBorder="1" applyAlignment="1">
      <alignment horizontal="center" vertical="center"/>
    </xf>
    <xf numFmtId="0" fontId="67" fillId="71" borderId="38" xfId="0" applyFont="1" applyFill="1" applyBorder="1"/>
    <xf numFmtId="0" fontId="67" fillId="71" borderId="39" xfId="0" applyFont="1" applyFill="1" applyBorder="1" applyAlignment="1">
      <alignment horizontal="center" vertical="center"/>
    </xf>
    <xf numFmtId="0" fontId="67" fillId="71" borderId="40" xfId="0" applyFont="1" applyFill="1" applyBorder="1" applyAlignment="1">
      <alignment horizontal="center" vertical="center"/>
    </xf>
    <xf numFmtId="0" fontId="0" fillId="0" borderId="0" xfId="0" applyAlignment="1">
      <alignment horizontal="center"/>
    </xf>
    <xf numFmtId="0" fontId="0" fillId="71" borderId="31" xfId="0" applyFill="1" applyBorder="1" applyAlignment="1">
      <alignment horizontal="right"/>
    </xf>
    <xf numFmtId="9" fontId="0" fillId="72" borderId="23" xfId="152" applyFont="1" applyFill="1" applyBorder="1" applyAlignment="1">
      <alignment horizontal="center" vertical="center"/>
    </xf>
    <xf numFmtId="0" fontId="54" fillId="39" borderId="0" xfId="0" applyFont="1" applyFill="1" applyBorder="1" applyAlignment="1">
      <alignment horizontal="center" vertical="top"/>
    </xf>
    <xf numFmtId="0" fontId="48" fillId="69" borderId="10" xfId="0" applyFont="1" applyFill="1" applyBorder="1" applyAlignment="1">
      <alignment horizontal="center" vertical="center" wrapText="1"/>
    </xf>
    <xf numFmtId="0" fontId="0" fillId="0" borderId="0" xfId="0" applyAlignment="1">
      <alignment horizontal="center"/>
    </xf>
    <xf numFmtId="0" fontId="53" fillId="71" borderId="0" xfId="0" applyFont="1" applyFill="1" applyAlignment="1">
      <alignment horizontal="left" vertical="top" wrapText="1"/>
    </xf>
    <xf numFmtId="2" fontId="0" fillId="71" borderId="18" xfId="152" applyNumberFormat="1" applyFont="1" applyFill="1" applyBorder="1" applyAlignment="1">
      <alignment horizontal="center" vertical="center"/>
    </xf>
    <xf numFmtId="2" fontId="0" fillId="72" borderId="18" xfId="152" applyNumberFormat="1" applyFont="1" applyFill="1" applyBorder="1" applyAlignment="1">
      <alignment horizontal="center" vertical="center"/>
    </xf>
    <xf numFmtId="165" fontId="0" fillId="71" borderId="18" xfId="0" applyNumberFormat="1" applyFont="1" applyFill="1" applyBorder="1" applyAlignment="1">
      <alignment horizontal="center" vertical="center"/>
    </xf>
    <xf numFmtId="165" fontId="0" fillId="72" borderId="18" xfId="0" applyNumberFormat="1" applyFont="1" applyFill="1" applyBorder="1" applyAlignment="1">
      <alignment horizontal="center" vertical="center"/>
    </xf>
    <xf numFmtId="1" fontId="0" fillId="71" borderId="18" xfId="0" applyNumberFormat="1" applyFont="1" applyFill="1" applyBorder="1" applyAlignment="1">
      <alignment horizontal="center" vertical="center"/>
    </xf>
    <xf numFmtId="0" fontId="70" fillId="71" borderId="46" xfId="0" applyFont="1" applyFill="1" applyBorder="1"/>
    <xf numFmtId="0" fontId="70" fillId="71" borderId="47" xfId="0" applyNumberFormat="1" applyFont="1" applyFill="1" applyBorder="1" applyAlignment="1">
      <alignment horizontal="center" vertical="center"/>
    </xf>
    <xf numFmtId="0" fontId="70" fillId="71" borderId="48" xfId="0" applyNumberFormat="1" applyFont="1" applyFill="1" applyBorder="1" applyAlignment="1">
      <alignment horizontal="center" vertical="center"/>
    </xf>
    <xf numFmtId="0" fontId="0" fillId="71" borderId="49" xfId="0" applyFont="1" applyFill="1" applyBorder="1"/>
    <xf numFmtId="9" fontId="0" fillId="71" borderId="18" xfId="0" applyNumberFormat="1" applyFont="1" applyFill="1" applyBorder="1" applyAlignment="1">
      <alignment horizontal="center" vertical="center"/>
    </xf>
    <xf numFmtId="9" fontId="15" fillId="72" borderId="18" xfId="0" applyNumberFormat="1" applyFont="1" applyFill="1" applyBorder="1" applyAlignment="1">
      <alignment horizontal="center" vertical="center"/>
    </xf>
    <xf numFmtId="9" fontId="15" fillId="72" borderId="50" xfId="0" applyNumberFormat="1" applyFont="1" applyFill="1" applyBorder="1" applyAlignment="1">
      <alignment horizontal="center" vertical="center"/>
    </xf>
    <xf numFmtId="0" fontId="0" fillId="71" borderId="51" xfId="0" applyFont="1" applyFill="1" applyBorder="1"/>
    <xf numFmtId="9" fontId="0" fillId="71" borderId="52" xfId="0" applyNumberFormat="1" applyFont="1" applyFill="1" applyBorder="1" applyAlignment="1">
      <alignment horizontal="center" vertical="center"/>
    </xf>
    <xf numFmtId="9" fontId="15" fillId="72" borderId="52" xfId="0" applyNumberFormat="1" applyFont="1" applyFill="1" applyBorder="1" applyAlignment="1">
      <alignment horizontal="center" vertical="center"/>
    </xf>
    <xf numFmtId="9" fontId="15" fillId="72" borderId="53" xfId="0" applyNumberFormat="1" applyFont="1" applyFill="1" applyBorder="1" applyAlignment="1">
      <alignment horizontal="center" vertical="center"/>
    </xf>
    <xf numFmtId="0" fontId="54" fillId="71" borderId="0" xfId="0" applyFont="1" applyFill="1" applyBorder="1" applyAlignment="1">
      <alignment horizontal="center" vertical="top" wrapText="1"/>
    </xf>
    <xf numFmtId="0" fontId="15" fillId="71" borderId="19" xfId="0" applyFont="1" applyFill="1" applyBorder="1"/>
    <xf numFmtId="0" fontId="15" fillId="71" borderId="20" xfId="0" applyFont="1" applyFill="1" applyBorder="1" applyAlignment="1">
      <alignment horizontal="center" vertical="center"/>
    </xf>
    <xf numFmtId="0" fontId="15" fillId="71" borderId="21" xfId="0" applyFont="1" applyFill="1" applyBorder="1" applyAlignment="1">
      <alignment horizontal="center" vertical="center"/>
    </xf>
    <xf numFmtId="1" fontId="0" fillId="72" borderId="18" xfId="0" applyNumberFormat="1" applyFont="1" applyFill="1" applyBorder="1" applyAlignment="1">
      <alignment horizontal="center" vertical="center"/>
    </xf>
    <xf numFmtId="1" fontId="0" fillId="71" borderId="18" xfId="0" applyNumberFormat="1" applyFill="1" applyBorder="1" applyAlignment="1">
      <alignment horizontal="center" vertical="center"/>
    </xf>
    <xf numFmtId="1" fontId="0" fillId="72" borderId="18" xfId="0" applyNumberFormat="1" applyFill="1" applyBorder="1" applyAlignment="1">
      <alignment horizontal="center" vertical="center"/>
    </xf>
    <xf numFmtId="0" fontId="0" fillId="71" borderId="22" xfId="0" applyFont="1" applyFill="1" applyBorder="1" applyAlignment="1">
      <alignment wrapText="1"/>
    </xf>
    <xf numFmtId="164" fontId="0" fillId="71" borderId="18" xfId="0" applyNumberFormat="1" applyFont="1" applyFill="1" applyBorder="1" applyAlignment="1">
      <alignment horizontal="center" vertical="center"/>
    </xf>
    <xf numFmtId="164" fontId="0" fillId="72" borderId="18" xfId="0" applyNumberFormat="1" applyFont="1" applyFill="1" applyBorder="1" applyAlignment="1">
      <alignment horizontal="center" vertical="center"/>
    </xf>
    <xf numFmtId="164" fontId="0" fillId="72" borderId="23" xfId="0" applyNumberFormat="1" applyFont="1" applyFill="1" applyBorder="1" applyAlignment="1">
      <alignment horizontal="center" vertical="center"/>
    </xf>
    <xf numFmtId="0" fontId="15" fillId="71" borderId="55" xfId="0" applyFont="1" applyFill="1" applyBorder="1"/>
    <xf numFmtId="0" fontId="15" fillId="71" borderId="39" xfId="0" applyFont="1" applyFill="1" applyBorder="1" applyAlignment="1">
      <alignment horizontal="center" vertical="center"/>
    </xf>
    <xf numFmtId="0" fontId="15" fillId="71" borderId="56" xfId="0" applyFont="1" applyFill="1" applyBorder="1" applyAlignment="1">
      <alignment horizontal="center" vertical="center"/>
    </xf>
    <xf numFmtId="0" fontId="15" fillId="71" borderId="49" xfId="0" applyFont="1" applyFill="1" applyBorder="1" applyAlignment="1">
      <alignment horizontal="left"/>
    </xf>
    <xf numFmtId="1" fontId="15" fillId="71" borderId="18" xfId="152" applyNumberFormat="1" applyFont="1" applyFill="1" applyBorder="1" applyAlignment="1">
      <alignment horizontal="center" vertical="center"/>
    </xf>
    <xf numFmtId="1" fontId="15" fillId="72" borderId="18" xfId="152" applyNumberFormat="1" applyFont="1" applyFill="1" applyBorder="1" applyAlignment="1">
      <alignment horizontal="center" vertical="center"/>
    </xf>
    <xf numFmtId="1" fontId="15" fillId="72" borderId="50" xfId="152" applyNumberFormat="1" applyFont="1" applyFill="1" applyBorder="1" applyAlignment="1">
      <alignment horizontal="center" vertical="center"/>
    </xf>
    <xf numFmtId="0" fontId="0" fillId="71" borderId="49" xfId="0" applyFont="1" applyFill="1" applyBorder="1" applyAlignment="1">
      <alignment horizontal="left"/>
    </xf>
    <xf numFmtId="1" fontId="0" fillId="71" borderId="18" xfId="152" applyNumberFormat="1" applyFont="1" applyFill="1" applyBorder="1" applyAlignment="1">
      <alignment horizontal="center" vertical="center"/>
    </xf>
    <xf numFmtId="1" fontId="0" fillId="72" borderId="18" xfId="152" applyNumberFormat="1" applyFont="1" applyFill="1" applyBorder="1" applyAlignment="1">
      <alignment horizontal="center" vertical="center"/>
    </xf>
    <xf numFmtId="0" fontId="0" fillId="71" borderId="51" xfId="0" applyFont="1" applyFill="1" applyBorder="1" applyAlignment="1">
      <alignment horizontal="left"/>
    </xf>
    <xf numFmtId="1" fontId="1" fillId="71" borderId="18" xfId="152" applyNumberFormat="1" applyFont="1" applyFill="1" applyBorder="1" applyAlignment="1">
      <alignment horizontal="center" vertical="center"/>
    </xf>
    <xf numFmtId="1" fontId="1" fillId="72" borderId="18" xfId="152" applyNumberFormat="1" applyFont="1" applyFill="1" applyBorder="1" applyAlignment="1">
      <alignment horizontal="center" vertical="center"/>
    </xf>
    <xf numFmtId="1" fontId="1" fillId="72" borderId="50" xfId="152" applyNumberFormat="1" applyFont="1" applyFill="1" applyBorder="1" applyAlignment="1">
      <alignment horizontal="center" vertical="center"/>
    </xf>
    <xf numFmtId="1" fontId="1" fillId="71" borderId="52" xfId="152" applyNumberFormat="1" applyFont="1" applyFill="1" applyBorder="1" applyAlignment="1">
      <alignment horizontal="center" vertical="center"/>
    </xf>
    <xf numFmtId="1" fontId="1" fillId="72" borderId="52" xfId="152" applyNumberFormat="1" applyFont="1" applyFill="1" applyBorder="1" applyAlignment="1">
      <alignment horizontal="center" vertical="center"/>
    </xf>
    <xf numFmtId="1" fontId="1" fillId="72" borderId="53" xfId="152" applyNumberFormat="1" applyFont="1" applyFill="1" applyBorder="1" applyAlignment="1">
      <alignment horizontal="center" vertical="center"/>
    </xf>
    <xf numFmtId="0" fontId="15" fillId="71" borderId="20" xfId="0" applyFont="1" applyFill="1" applyBorder="1" applyAlignment="1">
      <alignment horizontal="center"/>
    </xf>
    <xf numFmtId="0" fontId="15" fillId="71" borderId="21" xfId="0" applyFont="1" applyFill="1" applyBorder="1" applyAlignment="1">
      <alignment horizontal="center"/>
    </xf>
    <xf numFmtId="165" fontId="15" fillId="71" borderId="25" xfId="0" applyNumberFormat="1" applyFont="1" applyFill="1" applyBorder="1" applyAlignment="1">
      <alignment horizontal="center" vertical="center"/>
    </xf>
    <xf numFmtId="165" fontId="15" fillId="72" borderId="25" xfId="0" applyNumberFormat="1" applyFont="1" applyFill="1" applyBorder="1" applyAlignment="1">
      <alignment horizontal="center" vertical="center"/>
    </xf>
    <xf numFmtId="165" fontId="15" fillId="72" borderId="26" xfId="0" applyNumberFormat="1" applyFont="1" applyFill="1" applyBorder="1" applyAlignment="1">
      <alignment horizontal="center" vertical="center"/>
    </xf>
    <xf numFmtId="0" fontId="15" fillId="71" borderId="24" xfId="0" applyFont="1" applyFill="1" applyBorder="1"/>
    <xf numFmtId="165" fontId="15" fillId="71" borderId="39" xfId="0" applyNumberFormat="1" applyFont="1" applyFill="1" applyBorder="1" applyAlignment="1">
      <alignment horizontal="center" vertical="center"/>
    </xf>
    <xf numFmtId="1" fontId="0" fillId="71" borderId="22" xfId="0" applyNumberFormat="1" applyFont="1" applyFill="1" applyBorder="1"/>
    <xf numFmtId="165" fontId="15" fillId="71" borderId="18" xfId="0" applyNumberFormat="1" applyFont="1" applyFill="1" applyBorder="1"/>
    <xf numFmtId="165" fontId="15" fillId="72" borderId="18" xfId="0" applyNumberFormat="1" applyFont="1" applyFill="1" applyBorder="1"/>
    <xf numFmtId="0" fontId="0" fillId="71" borderId="22" xfId="0" applyFill="1" applyBorder="1" applyAlignment="1">
      <alignment horizontal="left"/>
    </xf>
    <xf numFmtId="0" fontId="0" fillId="71" borderId="43" xfId="0" applyFont="1" applyFill="1" applyBorder="1"/>
    <xf numFmtId="165" fontId="0" fillId="72" borderId="44" xfId="0" applyNumberFormat="1" applyFont="1" applyFill="1" applyBorder="1" applyAlignment="1">
      <alignment horizontal="center" vertical="center"/>
    </xf>
    <xf numFmtId="9" fontId="0" fillId="71" borderId="25" xfId="152" applyFont="1" applyFill="1" applyBorder="1" applyAlignment="1">
      <alignment horizontal="center" vertical="center"/>
    </xf>
    <xf numFmtId="9" fontId="0" fillId="72" borderId="26" xfId="152" applyFont="1" applyFill="1" applyBorder="1" applyAlignment="1">
      <alignment horizontal="center" vertical="center"/>
    </xf>
    <xf numFmtId="0" fontId="0" fillId="45" borderId="0" xfId="0" applyFill="1"/>
    <xf numFmtId="0" fontId="63" fillId="45" borderId="0" xfId="0" applyFont="1" applyFill="1" applyBorder="1" applyAlignment="1">
      <alignment vertical="center"/>
    </xf>
    <xf numFmtId="165" fontId="0" fillId="45" borderId="0" xfId="0" applyNumberFormat="1" applyFill="1"/>
    <xf numFmtId="0" fontId="64" fillId="45" borderId="0" xfId="0" applyFont="1" applyFill="1" applyBorder="1" applyAlignment="1"/>
    <xf numFmtId="0" fontId="64" fillId="0" borderId="0" xfId="0" applyFont="1" applyBorder="1" applyAlignment="1"/>
    <xf numFmtId="0" fontId="0" fillId="0" borderId="0" xfId="0" applyAlignment="1">
      <alignment horizontal="center" vertical="center"/>
    </xf>
    <xf numFmtId="0" fontId="0" fillId="0" borderId="0" xfId="0" applyAlignment="1">
      <alignment horizontal="center"/>
    </xf>
    <xf numFmtId="0" fontId="0" fillId="71" borderId="0" xfId="0" applyFill="1" applyAlignment="1">
      <alignment horizontal="left" vertical="top" wrapText="1"/>
    </xf>
    <xf numFmtId="0" fontId="0" fillId="71" borderId="0" xfId="0" applyFill="1" applyAlignment="1">
      <alignment horizontal="left" vertical="top"/>
    </xf>
    <xf numFmtId="0" fontId="54" fillId="71" borderId="0" xfId="0" applyFont="1" applyFill="1" applyBorder="1" applyAlignment="1">
      <alignment horizontal="center" vertical="top"/>
    </xf>
    <xf numFmtId="165" fontId="0" fillId="72" borderId="37" xfId="0" applyNumberFormat="1" applyFont="1" applyFill="1" applyBorder="1" applyAlignment="1">
      <alignment horizontal="center" vertical="center"/>
    </xf>
    <xf numFmtId="0" fontId="0" fillId="71" borderId="31" xfId="0" applyFont="1" applyFill="1" applyBorder="1"/>
    <xf numFmtId="9" fontId="1" fillId="72" borderId="23" xfId="152" applyFont="1" applyFill="1" applyBorder="1" applyAlignment="1">
      <alignment horizontal="center" vertical="center"/>
    </xf>
    <xf numFmtId="165" fontId="0" fillId="72" borderId="18" xfId="152" applyNumberFormat="1" applyFont="1" applyFill="1" applyBorder="1" applyAlignment="1">
      <alignment horizontal="center" vertical="center"/>
    </xf>
    <xf numFmtId="0" fontId="0" fillId="0" borderId="0" xfId="0"/>
    <xf numFmtId="165" fontId="1" fillId="71" borderId="18" xfId="152" applyNumberFormat="1" applyFont="1" applyFill="1" applyBorder="1" applyAlignment="1">
      <alignment horizontal="center" vertical="center"/>
    </xf>
    <xf numFmtId="165" fontId="1" fillId="72" borderId="18" xfId="152"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54" fillId="71" borderId="0" xfId="0" applyFont="1" applyFill="1" applyBorder="1" applyAlignment="1">
      <alignment horizontal="center" vertical="top"/>
    </xf>
    <xf numFmtId="0" fontId="15" fillId="71" borderId="43" xfId="0" applyFont="1" applyFill="1" applyBorder="1"/>
    <xf numFmtId="0" fontId="0" fillId="71" borderId="0" xfId="0" applyFont="1" applyFill="1" applyBorder="1"/>
    <xf numFmtId="165" fontId="0" fillId="71" borderId="0" xfId="0" applyNumberFormat="1" applyFont="1" applyFill="1" applyBorder="1" applyAlignment="1">
      <alignment horizontal="center" vertical="center"/>
    </xf>
    <xf numFmtId="0" fontId="0" fillId="39" borderId="0" xfId="0" applyFont="1" applyFill="1" applyBorder="1"/>
    <xf numFmtId="165" fontId="0" fillId="39" borderId="0" xfId="0" applyNumberFormat="1" applyFont="1" applyFill="1" applyBorder="1" applyAlignment="1">
      <alignment horizontal="center" vertical="center"/>
    </xf>
    <xf numFmtId="2" fontId="0" fillId="71" borderId="18" xfId="0" applyNumberFormat="1" applyFill="1" applyBorder="1" applyAlignment="1">
      <alignment horizontal="center" vertical="center"/>
    </xf>
    <xf numFmtId="2" fontId="0" fillId="72" borderId="18" xfId="0" applyNumberFormat="1" applyFill="1" applyBorder="1" applyAlignment="1">
      <alignment horizontal="center" vertical="center"/>
    </xf>
    <xf numFmtId="2" fontId="0" fillId="72" borderId="37" xfId="0" applyNumberFormat="1" applyFill="1" applyBorder="1" applyAlignment="1">
      <alignment horizontal="center" vertical="center"/>
    </xf>
    <xf numFmtId="1" fontId="0" fillId="72" borderId="37" xfId="0" applyNumberFormat="1" applyFill="1" applyBorder="1" applyAlignment="1">
      <alignment horizontal="center" vertical="center"/>
    </xf>
    <xf numFmtId="9" fontId="0" fillId="71" borderId="18" xfId="0" applyNumberFormat="1" applyFill="1" applyBorder="1" applyAlignment="1">
      <alignment horizontal="center" vertical="center"/>
    </xf>
    <xf numFmtId="9" fontId="0" fillId="72" borderId="18" xfId="0" applyNumberFormat="1" applyFill="1" applyBorder="1" applyAlignment="1">
      <alignment horizontal="center" vertical="center"/>
    </xf>
    <xf numFmtId="9" fontId="0" fillId="72" borderId="37" xfId="0" applyNumberFormat="1" applyFill="1" applyBorder="1" applyAlignment="1">
      <alignment horizontal="center" vertical="center"/>
    </xf>
    <xf numFmtId="164" fontId="0" fillId="71" borderId="18" xfId="0" applyNumberFormat="1" applyFill="1" applyBorder="1" applyAlignment="1">
      <alignment horizontal="center" vertical="center"/>
    </xf>
    <xf numFmtId="164" fontId="0" fillId="72" borderId="18" xfId="0" applyNumberFormat="1" applyFill="1" applyBorder="1" applyAlignment="1">
      <alignment horizontal="center" vertical="center"/>
    </xf>
    <xf numFmtId="164" fontId="0" fillId="72" borderId="37" xfId="0" applyNumberFormat="1" applyFill="1" applyBorder="1" applyAlignment="1">
      <alignment horizontal="center" vertical="center"/>
    </xf>
    <xf numFmtId="10" fontId="0" fillId="71" borderId="18" xfId="0" applyNumberFormat="1" applyFill="1" applyBorder="1" applyAlignment="1">
      <alignment horizontal="center" vertical="center"/>
    </xf>
    <xf numFmtId="10" fontId="0" fillId="72" borderId="18" xfId="0" applyNumberFormat="1" applyFill="1" applyBorder="1" applyAlignment="1">
      <alignment horizontal="center" vertical="center"/>
    </xf>
    <xf numFmtId="10" fontId="0" fillId="72" borderId="37" xfId="0" applyNumberFormat="1" applyFill="1" applyBorder="1" applyAlignment="1">
      <alignment horizontal="center" vertical="center"/>
    </xf>
    <xf numFmtId="1" fontId="0" fillId="71" borderId="30" xfId="0" applyNumberFormat="1" applyFill="1" applyBorder="1" applyAlignment="1">
      <alignment horizontal="center" vertical="center"/>
    </xf>
    <xf numFmtId="1" fontId="0" fillId="72" borderId="30" xfId="0" applyNumberFormat="1" applyFill="1" applyBorder="1" applyAlignment="1">
      <alignment horizontal="center" vertical="center"/>
    </xf>
    <xf numFmtId="1" fontId="0" fillId="72" borderId="42" xfId="0" applyNumberFormat="1" applyFill="1" applyBorder="1" applyAlignment="1">
      <alignment horizontal="center" vertical="center"/>
    </xf>
    <xf numFmtId="3" fontId="15" fillId="71" borderId="18" xfId="0" applyNumberFormat="1" applyFont="1" applyFill="1" applyBorder="1" applyAlignment="1">
      <alignment horizontal="center" vertical="center"/>
    </xf>
    <xf numFmtId="3" fontId="15" fillId="72" borderId="18" xfId="0" applyNumberFormat="1" applyFont="1" applyFill="1" applyBorder="1" applyAlignment="1">
      <alignment horizontal="center" vertical="center"/>
    </xf>
    <xf numFmtId="3" fontId="0" fillId="71" borderId="18" xfId="0" applyNumberFormat="1" applyFill="1" applyBorder="1" applyAlignment="1">
      <alignment horizontal="center" vertical="center"/>
    </xf>
    <xf numFmtId="3" fontId="0" fillId="72" borderId="18" xfId="0" applyNumberFormat="1" applyFill="1" applyBorder="1" applyAlignment="1">
      <alignment horizontal="center" vertical="center"/>
    </xf>
    <xf numFmtId="164" fontId="15" fillId="72" borderId="18" xfId="0" applyNumberFormat="1" applyFont="1" applyFill="1" applyBorder="1" applyAlignment="1">
      <alignment horizontal="center" vertical="center"/>
    </xf>
    <xf numFmtId="3" fontId="15" fillId="72" borderId="23" xfId="0" applyNumberFormat="1" applyFont="1" applyFill="1" applyBorder="1" applyAlignment="1">
      <alignment horizontal="center" vertical="center"/>
    </xf>
    <xf numFmtId="3" fontId="0" fillId="72" borderId="23" xfId="0" applyNumberFormat="1" applyFill="1" applyBorder="1" applyAlignment="1">
      <alignment horizontal="center" vertical="center"/>
    </xf>
    <xf numFmtId="2" fontId="1" fillId="71" borderId="18" xfId="152" applyNumberFormat="1" applyFont="1" applyFill="1" applyBorder="1" applyAlignment="1">
      <alignment horizontal="center" vertical="center"/>
    </xf>
    <xf numFmtId="2" fontId="1" fillId="72" borderId="18" xfId="152" applyNumberFormat="1" applyFont="1" applyFill="1" applyBorder="1" applyAlignment="1">
      <alignment horizontal="center" vertical="center"/>
    </xf>
    <xf numFmtId="165" fontId="15" fillId="71" borderId="18" xfId="152" applyNumberFormat="1" applyFont="1" applyFill="1" applyBorder="1" applyAlignment="1">
      <alignment horizontal="center" vertical="center"/>
    </xf>
    <xf numFmtId="165" fontId="15" fillId="72" borderId="18" xfId="152" applyNumberFormat="1" applyFont="1" applyFill="1" applyBorder="1" applyAlignment="1">
      <alignment horizontal="center" vertical="center"/>
    </xf>
    <xf numFmtId="165" fontId="0" fillId="71" borderId="18" xfId="152" applyNumberFormat="1" applyFont="1" applyFill="1" applyBorder="1" applyAlignment="1">
      <alignment horizontal="center" vertical="center"/>
    </xf>
    <xf numFmtId="0" fontId="0" fillId="71" borderId="46" xfId="0" applyFill="1" applyBorder="1"/>
    <xf numFmtId="0" fontId="15" fillId="71" borderId="47" xfId="0" applyFont="1" applyFill="1" applyBorder="1" applyAlignment="1">
      <alignment horizontal="center" vertical="center"/>
    </xf>
    <xf numFmtId="0" fontId="15" fillId="71" borderId="48" xfId="0" applyFont="1" applyFill="1" applyBorder="1" applyAlignment="1">
      <alignment horizontal="center" vertical="center"/>
    </xf>
    <xf numFmtId="0" fontId="15" fillId="71" borderId="49" xfId="0" applyFont="1" applyFill="1" applyBorder="1"/>
    <xf numFmtId="3" fontId="15" fillId="72" borderId="50" xfId="0" applyNumberFormat="1" applyFont="1" applyFill="1" applyBorder="1" applyAlignment="1">
      <alignment horizontal="center" vertical="center"/>
    </xf>
    <xf numFmtId="169" fontId="15" fillId="71" borderId="18" xfId="152" applyNumberFormat="1" applyFont="1" applyFill="1" applyBorder="1" applyAlignment="1">
      <alignment horizontal="center" vertical="center"/>
    </xf>
    <xf numFmtId="169" fontId="15" fillId="72" borderId="18" xfId="152" applyNumberFormat="1" applyFont="1" applyFill="1" applyBorder="1" applyAlignment="1">
      <alignment horizontal="center" vertical="center"/>
    </xf>
    <xf numFmtId="169" fontId="15" fillId="72" borderId="50" xfId="152" applyNumberFormat="1" applyFont="1" applyFill="1" applyBorder="1" applyAlignment="1">
      <alignment horizontal="center" vertical="center"/>
    </xf>
    <xf numFmtId="0" fontId="0" fillId="71" borderId="49" xfId="0" applyFill="1" applyBorder="1"/>
    <xf numFmtId="9" fontId="0" fillId="72" borderId="50" xfId="152" applyFont="1" applyFill="1" applyBorder="1" applyAlignment="1">
      <alignment horizontal="center" vertical="center"/>
    </xf>
    <xf numFmtId="0" fontId="0" fillId="71" borderId="51" xfId="0" applyFill="1" applyBorder="1"/>
    <xf numFmtId="9" fontId="0" fillId="71" borderId="52" xfId="152" applyFont="1" applyFill="1" applyBorder="1" applyAlignment="1">
      <alignment horizontal="center" vertical="center"/>
    </xf>
    <xf numFmtId="9" fontId="0" fillId="72" borderId="52" xfId="152" applyFont="1" applyFill="1" applyBorder="1" applyAlignment="1">
      <alignment horizontal="center" vertical="center"/>
    </xf>
    <xf numFmtId="9" fontId="0" fillId="72" borderId="53" xfId="152" applyFont="1" applyFill="1" applyBorder="1" applyAlignment="1">
      <alignment horizontal="center" vertical="center"/>
    </xf>
    <xf numFmtId="3" fontId="0" fillId="71" borderId="18" xfId="152" applyNumberFormat="1" applyFont="1" applyFill="1" applyBorder="1" applyAlignment="1">
      <alignment horizontal="center" vertical="center"/>
    </xf>
    <xf numFmtId="3" fontId="0" fillId="72" borderId="18" xfId="152" applyNumberFormat="1" applyFont="1" applyFill="1" applyBorder="1" applyAlignment="1">
      <alignment horizontal="center" vertical="center"/>
    </xf>
    <xf numFmtId="3" fontId="0" fillId="72" borderId="50" xfId="152" applyNumberFormat="1" applyFont="1" applyFill="1" applyBorder="1" applyAlignment="1">
      <alignment horizontal="center" vertical="center"/>
    </xf>
    <xf numFmtId="1" fontId="15" fillId="72" borderId="18" xfId="0" applyNumberFormat="1" applyFont="1" applyFill="1" applyBorder="1" applyAlignment="1">
      <alignment horizontal="center" vertical="center"/>
    </xf>
    <xf numFmtId="1" fontId="15" fillId="72" borderId="23" xfId="0" applyNumberFormat="1" applyFont="1" applyFill="1" applyBorder="1" applyAlignment="1">
      <alignment horizontal="center" vertical="center"/>
    </xf>
    <xf numFmtId="169" fontId="15" fillId="71" borderId="18" xfId="0" applyNumberFormat="1" applyFont="1" applyFill="1" applyBorder="1" applyAlignment="1">
      <alignment horizontal="center" vertical="center"/>
    </xf>
    <xf numFmtId="169" fontId="15" fillId="72" borderId="18" xfId="0" applyNumberFormat="1" applyFont="1" applyFill="1" applyBorder="1" applyAlignment="1">
      <alignment horizontal="center" vertical="center"/>
    </xf>
    <xf numFmtId="169" fontId="15" fillId="72" borderId="50" xfId="0" applyNumberFormat="1" applyFont="1" applyFill="1" applyBorder="1" applyAlignment="1">
      <alignment horizontal="center" vertical="center"/>
    </xf>
    <xf numFmtId="0" fontId="274" fillId="71" borderId="22" xfId="0" applyFont="1" applyFill="1" applyBorder="1" applyAlignment="1">
      <alignment horizontal="right"/>
    </xf>
    <xf numFmtId="9" fontId="0" fillId="72" borderId="18" xfId="0" applyNumberFormat="1" applyFont="1" applyFill="1" applyBorder="1" applyAlignment="1">
      <alignment horizontal="center" vertical="center"/>
    </xf>
    <xf numFmtId="9" fontId="0" fillId="72" borderId="23" xfId="0" applyNumberFormat="1" applyFont="1" applyFill="1" applyBorder="1" applyAlignment="1">
      <alignment horizontal="center" vertical="center"/>
    </xf>
    <xf numFmtId="9" fontId="0" fillId="72" borderId="23" xfId="0" applyNumberFormat="1" applyFill="1" applyBorder="1" applyAlignment="1">
      <alignment horizontal="center" vertical="center"/>
    </xf>
    <xf numFmtId="0" fontId="15" fillId="71" borderId="105" xfId="0" applyFont="1" applyFill="1" applyBorder="1"/>
    <xf numFmtId="0" fontId="15" fillId="71" borderId="106" xfId="0" applyFont="1" applyFill="1" applyBorder="1" applyAlignment="1">
      <alignment horizontal="center" vertical="center"/>
    </xf>
    <xf numFmtId="0" fontId="15" fillId="71" borderId="107" xfId="0" applyFont="1" applyFill="1" applyBorder="1" applyAlignment="1">
      <alignment horizontal="center" vertical="center"/>
    </xf>
    <xf numFmtId="0" fontId="15" fillId="71" borderId="108" xfId="0" applyFont="1" applyFill="1" applyBorder="1"/>
    <xf numFmtId="165" fontId="15" fillId="71" borderId="10" xfId="0" applyNumberFormat="1" applyFont="1" applyFill="1" applyBorder="1" applyAlignment="1">
      <alignment horizontal="center" vertical="center"/>
    </xf>
    <xf numFmtId="0" fontId="0" fillId="71" borderId="108" xfId="0" applyFill="1" applyBorder="1" applyAlignment="1">
      <alignment horizontal="left"/>
    </xf>
    <xf numFmtId="165" fontId="0" fillId="71" borderId="10" xfId="0" applyNumberFormat="1" applyFill="1" applyBorder="1" applyAlignment="1">
      <alignment horizontal="center" vertical="center"/>
    </xf>
    <xf numFmtId="0" fontId="0" fillId="71" borderId="109" xfId="0" applyFill="1" applyBorder="1" applyAlignment="1">
      <alignment horizontal="left"/>
    </xf>
    <xf numFmtId="0" fontId="0" fillId="71" borderId="58" xfId="0" applyFill="1" applyBorder="1"/>
    <xf numFmtId="0" fontId="65" fillId="128" borderId="10" xfId="163" applyFont="1" applyFill="1" applyBorder="1" applyAlignment="1">
      <alignment horizontal="center" vertical="center" wrapText="1"/>
    </xf>
    <xf numFmtId="0" fontId="56" fillId="130" borderId="17" xfId="163" applyFont="1" applyFill="1" applyBorder="1" applyAlignment="1">
      <alignment horizontal="center" vertical="center"/>
    </xf>
    <xf numFmtId="0" fontId="56" fillId="128" borderId="17" xfId="163" applyFont="1" applyFill="1" applyBorder="1" applyAlignment="1">
      <alignment horizontal="center" vertical="center"/>
    </xf>
    <xf numFmtId="0" fontId="56" fillId="128" borderId="32" xfId="163" applyFont="1" applyFill="1" applyBorder="1" applyAlignment="1">
      <alignment horizontal="center" vertical="center"/>
    </xf>
    <xf numFmtId="0" fontId="56" fillId="128" borderId="34" xfId="163" applyFont="1" applyFill="1" applyBorder="1" applyAlignment="1">
      <alignment horizontal="center" vertical="center"/>
    </xf>
    <xf numFmtId="0" fontId="56" fillId="130" borderId="33" xfId="163" applyFont="1" applyFill="1" applyBorder="1" applyAlignment="1">
      <alignment horizontal="center" vertical="center"/>
    </xf>
    <xf numFmtId="0" fontId="0" fillId="129" borderId="0" xfId="0" applyFill="1"/>
    <xf numFmtId="0" fontId="13" fillId="128" borderId="0" xfId="0" applyFont="1" applyFill="1"/>
    <xf numFmtId="0" fontId="0" fillId="128" borderId="0" xfId="0" applyFill="1"/>
    <xf numFmtId="0" fontId="0" fillId="131" borderId="0" xfId="0" applyFill="1"/>
    <xf numFmtId="0" fontId="0" fillId="130" borderId="0" xfId="0" applyFill="1"/>
    <xf numFmtId="0" fontId="275" fillId="0" borderId="111" xfId="0" applyFont="1" applyBorder="1"/>
    <xf numFmtId="0" fontId="0" fillId="0" borderId="111" xfId="0" applyBorder="1"/>
    <xf numFmtId="0" fontId="52" fillId="0" borderId="111" xfId="0" applyFont="1" applyBorder="1" applyAlignment="1"/>
    <xf numFmtId="0" fontId="0" fillId="0" borderId="112" xfId="0" applyBorder="1"/>
    <xf numFmtId="0" fontId="52" fillId="0" borderId="112" xfId="0" applyFont="1" applyBorder="1" applyAlignment="1"/>
    <xf numFmtId="0" fontId="16" fillId="131" borderId="0" xfId="0" applyFont="1" applyFill="1"/>
    <xf numFmtId="0" fontId="16" fillId="130" borderId="0" xfId="0" applyFont="1" applyFill="1"/>
    <xf numFmtId="0" fontId="273" fillId="129" borderId="36" xfId="163" applyFont="1" applyFill="1" applyBorder="1" applyAlignment="1">
      <alignment horizontal="center" vertical="center" wrapText="1"/>
    </xf>
    <xf numFmtId="0" fontId="46" fillId="132" borderId="0" xfId="0" applyFont="1" applyFill="1" applyBorder="1" applyAlignment="1">
      <alignment horizontal="center" vertical="center" wrapText="1"/>
    </xf>
    <xf numFmtId="0" fontId="48" fillId="69" borderId="10" xfId="0" applyFont="1" applyFill="1" applyBorder="1" applyAlignment="1">
      <alignment horizontal="center" vertical="center" wrapText="1"/>
    </xf>
    <xf numFmtId="0" fontId="54" fillId="71" borderId="0" xfId="0" applyFont="1" applyFill="1" applyBorder="1" applyAlignment="1">
      <alignment horizontal="center" vertical="top"/>
    </xf>
    <xf numFmtId="0" fontId="274" fillId="0" borderId="0" xfId="0" applyFont="1"/>
    <xf numFmtId="0" fontId="280" fillId="0" borderId="0" xfId="0" applyFont="1" applyAlignment="1">
      <alignment horizontal="center" vertical="center"/>
    </xf>
    <xf numFmtId="0" fontId="0" fillId="0" borderId="0" xfId="0" applyAlignment="1">
      <alignment horizontal="center"/>
    </xf>
    <xf numFmtId="0" fontId="274" fillId="71" borderId="0" xfId="0" applyFont="1" applyFill="1" applyAlignment="1">
      <alignment horizontal="left" vertical="top"/>
    </xf>
    <xf numFmtId="2" fontId="274" fillId="71" borderId="18" xfId="152" applyNumberFormat="1" applyFont="1" applyFill="1" applyBorder="1" applyAlignment="1">
      <alignment horizontal="center" vertical="center"/>
    </xf>
    <xf numFmtId="2" fontId="274" fillId="72" borderId="18" xfId="152" applyNumberFormat="1" applyFont="1" applyFill="1" applyBorder="1" applyAlignment="1">
      <alignment horizontal="center" vertical="center"/>
    </xf>
    <xf numFmtId="0" fontId="48" fillId="69" borderId="10" xfId="0" applyFont="1" applyFill="1" applyBorder="1" applyAlignment="1">
      <alignment horizontal="center" vertical="center" wrapText="1"/>
    </xf>
    <xf numFmtId="0" fontId="54" fillId="71" borderId="0" xfId="0" applyFont="1" applyFill="1" applyBorder="1" applyAlignment="1">
      <alignment horizontal="center" vertical="top"/>
    </xf>
    <xf numFmtId="9" fontId="0" fillId="71" borderId="0" xfId="152" applyFont="1" applyFill="1" applyBorder="1"/>
    <xf numFmtId="0" fontId="0" fillId="71" borderId="0" xfId="0" applyFill="1" applyBorder="1"/>
    <xf numFmtId="9" fontId="0" fillId="71" borderId="0" xfId="152" applyFont="1" applyFill="1" applyBorder="1" applyAlignment="1">
      <alignment horizontal="center" vertical="center"/>
    </xf>
    <xf numFmtId="0" fontId="274" fillId="71" borderId="22" xfId="0" applyFont="1" applyFill="1" applyBorder="1"/>
    <xf numFmtId="165" fontId="0" fillId="71" borderId="18" xfId="0" applyNumberFormat="1" applyFont="1" applyFill="1" applyBorder="1"/>
    <xf numFmtId="165" fontId="0" fillId="72" borderId="18" xfId="0" applyNumberFormat="1" applyFont="1" applyFill="1" applyBorder="1"/>
    <xf numFmtId="165" fontId="0" fillId="72" borderId="23" xfId="0" applyNumberFormat="1" applyFont="1" applyFill="1" applyBorder="1"/>
    <xf numFmtId="165" fontId="0" fillId="71" borderId="25" xfId="0" applyNumberFormat="1" applyFont="1" applyFill="1" applyBorder="1"/>
    <xf numFmtId="165" fontId="0" fillId="72" borderId="25" xfId="0" applyNumberFormat="1" applyFont="1" applyFill="1" applyBorder="1"/>
    <xf numFmtId="165" fontId="0" fillId="72" borderId="26" xfId="0" applyNumberFormat="1" applyFont="1" applyFill="1" applyBorder="1"/>
    <xf numFmtId="165" fontId="0" fillId="71" borderId="30" xfId="0" applyNumberFormat="1" applyFont="1" applyFill="1" applyBorder="1" applyAlignment="1">
      <alignment horizontal="center" vertical="center"/>
    </xf>
    <xf numFmtId="165" fontId="0" fillId="72" borderId="30" xfId="0" applyNumberFormat="1" applyFont="1" applyFill="1" applyBorder="1" applyAlignment="1">
      <alignment horizontal="center" vertical="center"/>
    </xf>
    <xf numFmtId="0" fontId="0" fillId="0" borderId="0" xfId="0"/>
    <xf numFmtId="0" fontId="0" fillId="39" borderId="0" xfId="0" applyFill="1"/>
    <xf numFmtId="0" fontId="0" fillId="0" borderId="0" xfId="0" applyAlignment="1">
      <alignment horizontal="center"/>
    </xf>
    <xf numFmtId="0" fontId="54" fillId="71" borderId="0" xfId="0" applyFont="1" applyFill="1" applyBorder="1" applyAlignment="1">
      <alignment horizontal="center" vertical="top"/>
    </xf>
    <xf numFmtId="0" fontId="0" fillId="0" borderId="0" xfId="0" applyAlignment="1">
      <alignment horizontal="center" vertical="center"/>
    </xf>
    <xf numFmtId="0" fontId="0" fillId="0" borderId="0" xfId="0" applyAlignment="1">
      <alignment horizontal="center"/>
    </xf>
    <xf numFmtId="0" fontId="54" fillId="71" borderId="0" xfId="0" applyFont="1" applyFill="1" applyBorder="1" applyAlignment="1">
      <alignment horizontal="center" vertical="top"/>
    </xf>
    <xf numFmtId="0" fontId="54" fillId="71" borderId="0" xfId="0" applyFont="1" applyFill="1" applyBorder="1" applyAlignment="1">
      <alignment horizontal="center" vertical="top" wrapText="1"/>
    </xf>
    <xf numFmtId="2" fontId="54" fillId="71" borderId="0" xfId="0" applyNumberFormat="1" applyFont="1" applyFill="1" applyBorder="1" applyAlignment="1">
      <alignment horizontal="center" vertical="top"/>
    </xf>
    <xf numFmtId="9" fontId="15" fillId="72" borderId="18" xfId="152" applyFont="1" applyFill="1" applyBorder="1" applyAlignment="1">
      <alignment horizontal="center" vertical="center"/>
    </xf>
    <xf numFmtId="9" fontId="1" fillId="72" borderId="50" xfId="152" applyFont="1" applyFill="1" applyBorder="1" applyAlignment="1">
      <alignment horizontal="center" vertical="center"/>
    </xf>
    <xf numFmtId="9" fontId="15" fillId="71" borderId="18" xfId="152" applyFont="1" applyFill="1" applyBorder="1" applyAlignment="1">
      <alignment horizontal="center" vertical="center"/>
    </xf>
    <xf numFmtId="0" fontId="67" fillId="72" borderId="39" xfId="0" applyFont="1" applyFill="1" applyBorder="1" applyAlignment="1">
      <alignment horizontal="center" vertical="center"/>
    </xf>
    <xf numFmtId="165" fontId="0" fillId="72" borderId="10" xfId="0" applyNumberFormat="1" applyFill="1" applyBorder="1" applyAlignment="1">
      <alignment horizontal="center" vertical="center"/>
    </xf>
    <xf numFmtId="0" fontId="67" fillId="71" borderId="46" xfId="0" applyFont="1" applyFill="1" applyBorder="1"/>
    <xf numFmtId="0" fontId="67" fillId="71" borderId="47" xfId="0" applyFont="1" applyFill="1" applyBorder="1" applyAlignment="1">
      <alignment horizontal="center" vertical="center"/>
    </xf>
    <xf numFmtId="0" fontId="67" fillId="71" borderId="48" xfId="0" applyFont="1" applyFill="1" applyBorder="1" applyAlignment="1">
      <alignment horizontal="center" vertical="center"/>
    </xf>
    <xf numFmtId="165" fontId="0" fillId="71" borderId="52" xfId="0" applyNumberFormat="1" applyFill="1" applyBorder="1" applyAlignment="1">
      <alignment horizontal="center" vertical="center"/>
    </xf>
    <xf numFmtId="165" fontId="0" fillId="72" borderId="52" xfId="0" applyNumberFormat="1" applyFill="1" applyBorder="1" applyAlignment="1">
      <alignment horizontal="center" vertical="center"/>
    </xf>
    <xf numFmtId="165" fontId="0" fillId="72" borderId="53" xfId="0" applyNumberFormat="1" applyFill="1" applyBorder="1" applyAlignment="1">
      <alignment horizontal="center" vertical="center"/>
    </xf>
    <xf numFmtId="9" fontId="15" fillId="72" borderId="44" xfId="152" applyFont="1" applyFill="1" applyBorder="1" applyAlignment="1">
      <alignment horizontal="center" vertical="center"/>
    </xf>
    <xf numFmtId="9" fontId="0" fillId="72" borderId="44" xfId="152" applyFont="1" applyFill="1" applyBorder="1" applyAlignment="1">
      <alignment horizontal="center" vertical="center"/>
    </xf>
    <xf numFmtId="9" fontId="0" fillId="71" borderId="114" xfId="152" applyFont="1" applyFill="1" applyBorder="1" applyAlignment="1">
      <alignment horizontal="center" vertical="center"/>
    </xf>
    <xf numFmtId="9" fontId="0" fillId="72" borderId="114" xfId="152" applyFont="1" applyFill="1" applyBorder="1" applyAlignment="1">
      <alignment horizontal="center" vertical="center"/>
    </xf>
    <xf numFmtId="9" fontId="0" fillId="72" borderId="115" xfId="152" applyFont="1" applyFill="1" applyBorder="1" applyAlignment="1">
      <alignment horizontal="center" vertical="center"/>
    </xf>
    <xf numFmtId="0" fontId="0" fillId="71" borderId="43" xfId="0" applyFont="1" applyFill="1" applyBorder="1" applyAlignment="1">
      <alignment horizontal="right"/>
    </xf>
    <xf numFmtId="0" fontId="0" fillId="71" borderId="113" xfId="0" applyFont="1" applyFill="1" applyBorder="1" applyAlignment="1">
      <alignment horizontal="right"/>
    </xf>
    <xf numFmtId="0" fontId="0" fillId="71" borderId="43" xfId="0" applyFont="1" applyFill="1" applyBorder="1" applyAlignment="1">
      <alignment horizontal="left"/>
    </xf>
    <xf numFmtId="0" fontId="0" fillId="71" borderId="113" xfId="0" applyFont="1" applyFill="1" applyBorder="1" applyAlignment="1">
      <alignment horizontal="left"/>
    </xf>
    <xf numFmtId="165" fontId="0" fillId="39" borderId="18" xfId="152" applyNumberFormat="1" applyFont="1" applyFill="1" applyBorder="1" applyAlignment="1">
      <alignment horizontal="center" vertical="center"/>
    </xf>
    <xf numFmtId="165" fontId="0" fillId="39" borderId="114" xfId="152" applyNumberFormat="1" applyFont="1" applyFill="1" applyBorder="1" applyAlignment="1">
      <alignment horizontal="center" vertical="center"/>
    </xf>
    <xf numFmtId="0" fontId="54" fillId="71" borderId="0" xfId="0" applyFont="1" applyFill="1" applyBorder="1" applyAlignment="1">
      <alignment horizontal="center" vertical="top"/>
    </xf>
    <xf numFmtId="165" fontId="0" fillId="72" borderId="44" xfId="152" applyNumberFormat="1" applyFont="1" applyFill="1" applyBorder="1" applyAlignment="1">
      <alignment horizontal="center" vertical="center"/>
    </xf>
    <xf numFmtId="165" fontId="0" fillId="72" borderId="114" xfId="152" applyNumberFormat="1" applyFont="1" applyFill="1" applyBorder="1" applyAlignment="1">
      <alignment horizontal="center" vertical="center"/>
    </xf>
    <xf numFmtId="165" fontId="0" fillId="72" borderId="115" xfId="152" applyNumberFormat="1" applyFont="1" applyFill="1" applyBorder="1" applyAlignment="1">
      <alignment horizontal="center" vertical="center"/>
    </xf>
    <xf numFmtId="0" fontId="70" fillId="71" borderId="47" xfId="0" applyFont="1" applyFill="1" applyBorder="1" applyAlignment="1">
      <alignment horizontal="center" vertical="center"/>
    </xf>
    <xf numFmtId="0" fontId="70" fillId="71" borderId="48" xfId="0" applyFont="1" applyFill="1" applyBorder="1" applyAlignment="1">
      <alignment horizontal="center" vertical="center"/>
    </xf>
    <xf numFmtId="1" fontId="0" fillId="72" borderId="37" xfId="0" applyNumberFormat="1" applyFont="1" applyFill="1" applyBorder="1" applyAlignment="1">
      <alignment horizontal="center" vertical="center"/>
    </xf>
    <xf numFmtId="1" fontId="0" fillId="71" borderId="10" xfId="0" applyNumberFormat="1" applyFill="1" applyBorder="1" applyAlignment="1">
      <alignment horizontal="center" vertical="center"/>
    </xf>
    <xf numFmtId="1" fontId="67" fillId="72" borderId="39" xfId="0" applyNumberFormat="1" applyFont="1" applyFill="1" applyBorder="1" applyAlignment="1">
      <alignment horizontal="center" vertical="center"/>
    </xf>
    <xf numFmtId="1" fontId="0" fillId="72" borderId="10" xfId="0" applyNumberFormat="1" applyFill="1" applyBorder="1" applyAlignment="1">
      <alignment horizontal="center" vertical="center"/>
    </xf>
    <xf numFmtId="2" fontId="0" fillId="71" borderId="18" xfId="0" applyNumberFormat="1" applyFont="1" applyFill="1" applyBorder="1" applyAlignment="1">
      <alignment horizontal="center" vertical="center"/>
    </xf>
    <xf numFmtId="2" fontId="0" fillId="72" borderId="18" xfId="0" applyNumberFormat="1" applyFont="1" applyFill="1" applyBorder="1" applyAlignment="1">
      <alignment horizontal="center" vertical="center"/>
    </xf>
    <xf numFmtId="2" fontId="0" fillId="72" borderId="37" xfId="0" applyNumberFormat="1" applyFont="1" applyFill="1" applyBorder="1" applyAlignment="1">
      <alignment horizontal="center" vertical="center"/>
    </xf>
    <xf numFmtId="2" fontId="0" fillId="71" borderId="10" xfId="0" applyNumberFormat="1" applyFill="1" applyBorder="1" applyAlignment="1">
      <alignment horizontal="center" vertical="center"/>
    </xf>
    <xf numFmtId="2" fontId="67" fillId="72" borderId="39" xfId="0" applyNumberFormat="1" applyFont="1" applyFill="1" applyBorder="1" applyAlignment="1">
      <alignment horizontal="center" vertical="center"/>
    </xf>
    <xf numFmtId="2" fontId="0" fillId="72" borderId="10" xfId="0" applyNumberFormat="1" applyFill="1" applyBorder="1" applyAlignment="1">
      <alignment horizontal="center" vertical="center"/>
    </xf>
    <xf numFmtId="1" fontId="0" fillId="39" borderId="18" xfId="0" applyNumberFormat="1" applyFont="1" applyFill="1" applyBorder="1" applyAlignment="1">
      <alignment horizontal="center" vertical="center"/>
    </xf>
    <xf numFmtId="1" fontId="67" fillId="39" borderId="39" xfId="0" applyNumberFormat="1" applyFont="1" applyFill="1" applyBorder="1" applyAlignment="1">
      <alignment horizontal="center" vertical="center"/>
    </xf>
    <xf numFmtId="1" fontId="0" fillId="72" borderId="50" xfId="0" applyNumberFormat="1" applyFont="1" applyFill="1" applyBorder="1" applyAlignment="1">
      <alignment horizontal="center" vertical="center"/>
    </xf>
    <xf numFmtId="0" fontId="67" fillId="71" borderId="55" xfId="0" applyFont="1" applyFill="1" applyBorder="1"/>
    <xf numFmtId="1" fontId="0" fillId="72" borderId="116" xfId="0" applyNumberFormat="1" applyFill="1" applyBorder="1" applyAlignment="1">
      <alignment horizontal="center" vertical="center"/>
    </xf>
    <xf numFmtId="1" fontId="0" fillId="71" borderId="117" xfId="0" applyNumberFormat="1" applyFill="1" applyBorder="1" applyAlignment="1">
      <alignment horizontal="center" vertical="center"/>
    </xf>
    <xf numFmtId="1" fontId="0" fillId="72" borderId="52" xfId="0" applyNumberFormat="1" applyFill="1" applyBorder="1" applyAlignment="1">
      <alignment horizontal="center" vertical="center"/>
    </xf>
    <xf numFmtId="1" fontId="0" fillId="72" borderId="117" xfId="0" applyNumberFormat="1" applyFill="1" applyBorder="1" applyAlignment="1">
      <alignment horizontal="center" vertical="center"/>
    </xf>
    <xf numFmtId="1" fontId="0" fillId="72" borderId="118" xfId="0" applyNumberFormat="1" applyFill="1" applyBorder="1" applyAlignment="1">
      <alignment horizontal="center" vertical="center"/>
    </xf>
    <xf numFmtId="165" fontId="0" fillId="71" borderId="116" xfId="0" applyNumberFormat="1" applyFill="1" applyBorder="1" applyAlignment="1">
      <alignment horizontal="center" vertical="center"/>
    </xf>
    <xf numFmtId="0" fontId="0" fillId="71" borderId="58" xfId="0" applyFill="1" applyBorder="1" applyAlignment="1">
      <alignment horizontal="left"/>
    </xf>
    <xf numFmtId="165" fontId="0" fillId="71" borderId="117" xfId="0" applyNumberFormat="1" applyFill="1" applyBorder="1" applyAlignment="1">
      <alignment horizontal="center" vertical="center"/>
    </xf>
    <xf numFmtId="165" fontId="0" fillId="71" borderId="118" xfId="0" applyNumberFormat="1" applyFill="1" applyBorder="1" applyAlignment="1">
      <alignment horizontal="center" vertical="center"/>
    </xf>
    <xf numFmtId="0" fontId="15" fillId="71" borderId="46" xfId="0" applyFont="1" applyFill="1" applyBorder="1"/>
    <xf numFmtId="0" fontId="15" fillId="71" borderId="49" xfId="0" applyFont="1" applyFill="1" applyBorder="1" applyAlignment="1">
      <alignment wrapText="1"/>
    </xf>
    <xf numFmtId="165" fontId="15" fillId="72" borderId="50" xfId="0" applyNumberFormat="1" applyFont="1" applyFill="1" applyBorder="1" applyAlignment="1">
      <alignment horizontal="center" vertical="center"/>
    </xf>
    <xf numFmtId="0" fontId="281" fillId="71" borderId="49" xfId="0" applyFont="1" applyFill="1" applyBorder="1" applyAlignment="1">
      <alignment horizontal="right" wrapText="1"/>
    </xf>
    <xf numFmtId="165" fontId="0" fillId="72" borderId="50" xfId="0" applyNumberFormat="1" applyFill="1" applyBorder="1" applyAlignment="1">
      <alignment horizontal="center" vertical="center"/>
    </xf>
    <xf numFmtId="0" fontId="282" fillId="71" borderId="49" xfId="0" applyFont="1" applyFill="1" applyBorder="1" applyAlignment="1">
      <alignment horizontal="right" wrapText="1"/>
    </xf>
    <xf numFmtId="0" fontId="282" fillId="71" borderId="51" xfId="0" applyFont="1" applyFill="1" applyBorder="1" applyAlignment="1">
      <alignment horizontal="right" wrapText="1"/>
    </xf>
    <xf numFmtId="165" fontId="15" fillId="72" borderId="50" xfId="152" applyNumberFormat="1" applyFont="1" applyFill="1" applyBorder="1" applyAlignment="1">
      <alignment horizontal="center" vertical="center"/>
    </xf>
    <xf numFmtId="165" fontId="0" fillId="72" borderId="50" xfId="152" applyNumberFormat="1" applyFont="1" applyFill="1" applyBorder="1" applyAlignment="1">
      <alignment horizontal="center" vertical="center"/>
    </xf>
    <xf numFmtId="0" fontId="274" fillId="71" borderId="49" xfId="0" applyFont="1" applyFill="1" applyBorder="1" applyAlignment="1">
      <alignment horizontal="right"/>
    </xf>
    <xf numFmtId="165" fontId="0" fillId="71" borderId="52" xfId="152" applyNumberFormat="1" applyFont="1" applyFill="1" applyBorder="1" applyAlignment="1">
      <alignment horizontal="center" vertical="center"/>
    </xf>
    <xf numFmtId="165" fontId="0" fillId="72" borderId="52" xfId="152" applyNumberFormat="1" applyFont="1" applyFill="1" applyBorder="1" applyAlignment="1">
      <alignment horizontal="center" vertical="center"/>
    </xf>
    <xf numFmtId="165" fontId="0" fillId="72" borderId="53" xfId="152" applyNumberFormat="1" applyFont="1" applyFill="1" applyBorder="1" applyAlignment="1">
      <alignment horizontal="center" vertical="center"/>
    </xf>
    <xf numFmtId="0" fontId="274" fillId="71" borderId="49" xfId="0" applyFont="1" applyFill="1" applyBorder="1" applyAlignment="1">
      <alignment horizontal="right" wrapText="1"/>
    </xf>
    <xf numFmtId="165" fontId="1" fillId="72" borderId="50" xfId="152" applyNumberFormat="1" applyFont="1" applyFill="1" applyBorder="1" applyAlignment="1">
      <alignment horizontal="center" vertical="center"/>
    </xf>
    <xf numFmtId="165" fontId="1" fillId="71" borderId="52" xfId="152" applyNumberFormat="1" applyFont="1" applyFill="1" applyBorder="1" applyAlignment="1">
      <alignment horizontal="center" vertical="center"/>
    </xf>
    <xf numFmtId="165" fontId="1" fillId="72" borderId="52" xfId="152" applyNumberFormat="1" applyFont="1" applyFill="1" applyBorder="1" applyAlignment="1">
      <alignment horizontal="center" vertical="center"/>
    </xf>
    <xf numFmtId="165" fontId="1" fillId="72" borderId="53" xfId="152" applyNumberFormat="1" applyFont="1" applyFill="1" applyBorder="1" applyAlignment="1">
      <alignment horizontal="center" vertical="center"/>
    </xf>
    <xf numFmtId="0" fontId="54" fillId="71" borderId="0" xfId="0" applyFont="1" applyFill="1" applyBorder="1" applyAlignment="1">
      <alignment horizontal="center" vertical="top"/>
    </xf>
    <xf numFmtId="0" fontId="289" fillId="130" borderId="17" xfId="163" applyFont="1" applyFill="1" applyBorder="1" applyAlignment="1">
      <alignment horizontal="center" vertical="center"/>
    </xf>
    <xf numFmtId="0" fontId="289" fillId="130" borderId="33" xfId="163" applyFont="1" applyFill="1" applyBorder="1" applyAlignment="1">
      <alignment horizontal="center" vertical="center"/>
    </xf>
    <xf numFmtId="0" fontId="54" fillId="71" borderId="0" xfId="0" applyFont="1" applyFill="1" applyBorder="1" applyAlignment="1">
      <alignment horizontal="center" vertical="top"/>
    </xf>
    <xf numFmtId="0" fontId="13" fillId="71" borderId="0" xfId="0" applyFont="1" applyFill="1"/>
    <xf numFmtId="165" fontId="15" fillId="71" borderId="116" xfId="0" applyNumberFormat="1" applyFont="1" applyFill="1" applyBorder="1" applyAlignment="1">
      <alignment horizontal="center" vertical="center"/>
    </xf>
    <xf numFmtId="3" fontId="1" fillId="71" borderId="18" xfId="152" applyNumberFormat="1" applyFont="1" applyFill="1" applyBorder="1" applyAlignment="1">
      <alignment horizontal="center" vertical="center"/>
    </xf>
    <xf numFmtId="3" fontId="1" fillId="72" borderId="18" xfId="152" applyNumberFormat="1" applyFont="1" applyFill="1" applyBorder="1" applyAlignment="1">
      <alignment horizontal="center" vertical="center"/>
    </xf>
    <xf numFmtId="165" fontId="0" fillId="71" borderId="0" xfId="0" applyNumberFormat="1" applyFill="1"/>
    <xf numFmtId="0" fontId="0" fillId="71" borderId="119" xfId="0" applyFont="1" applyFill="1" applyBorder="1"/>
    <xf numFmtId="165" fontId="0" fillId="39" borderId="39" xfId="152" applyNumberFormat="1" applyFont="1" applyFill="1" applyBorder="1" applyAlignment="1">
      <alignment horizontal="center" vertical="center"/>
    </xf>
    <xf numFmtId="165" fontId="0" fillId="72" borderId="39" xfId="152" applyNumberFormat="1" applyFont="1" applyFill="1" applyBorder="1" applyAlignment="1">
      <alignment horizontal="center" vertical="center"/>
    </xf>
    <xf numFmtId="165" fontId="0" fillId="72" borderId="120" xfId="152" applyNumberFormat="1" applyFont="1" applyFill="1" applyBorder="1" applyAlignment="1">
      <alignment horizontal="center" vertical="center"/>
    </xf>
    <xf numFmtId="0" fontId="0" fillId="71" borderId="49" xfId="0" applyFont="1" applyFill="1" applyBorder="1" applyAlignment="1">
      <alignment horizontal="right"/>
    </xf>
    <xf numFmtId="0" fontId="0" fillId="71" borderId="51" xfId="0" applyFont="1" applyFill="1" applyBorder="1" applyAlignment="1">
      <alignment horizontal="right"/>
    </xf>
    <xf numFmtId="165" fontId="0" fillId="39" borderId="52" xfId="152" applyNumberFormat="1" applyFont="1" applyFill="1" applyBorder="1" applyAlignment="1">
      <alignment horizontal="center" vertical="center"/>
    </xf>
    <xf numFmtId="9" fontId="1" fillId="72" borderId="52" xfId="152" applyFont="1" applyFill="1" applyBorder="1" applyAlignment="1">
      <alignment horizontal="center" vertical="center"/>
    </xf>
    <xf numFmtId="0" fontId="0" fillId="71" borderId="47" xfId="0" applyFill="1" applyBorder="1" applyAlignment="1">
      <alignment horizontal="center" vertical="center"/>
    </xf>
    <xf numFmtId="0" fontId="0" fillId="71" borderId="48" xfId="0" applyFill="1" applyBorder="1" applyAlignment="1">
      <alignment horizontal="center" vertical="center"/>
    </xf>
    <xf numFmtId="3" fontId="1" fillId="72" borderId="50" xfId="152" applyNumberFormat="1" applyFont="1" applyFill="1" applyBorder="1" applyAlignment="1">
      <alignment horizontal="center" vertical="center"/>
    </xf>
    <xf numFmtId="3" fontId="0" fillId="71" borderId="52" xfId="152" applyNumberFormat="1" applyFont="1" applyFill="1" applyBorder="1" applyAlignment="1">
      <alignment horizontal="center" vertical="center"/>
    </xf>
    <xf numFmtId="3" fontId="0" fillId="72" borderId="52" xfId="152" applyNumberFormat="1" applyFont="1" applyFill="1" applyBorder="1" applyAlignment="1">
      <alignment horizontal="center" vertical="center"/>
    </xf>
    <xf numFmtId="3" fontId="0" fillId="72" borderId="53" xfId="152" applyNumberFormat="1" applyFont="1" applyFill="1" applyBorder="1" applyAlignment="1">
      <alignment horizontal="center" vertical="center"/>
    </xf>
    <xf numFmtId="3" fontId="1" fillId="71" borderId="52" xfId="152" applyNumberFormat="1" applyFont="1" applyFill="1" applyBorder="1" applyAlignment="1">
      <alignment horizontal="center" vertical="center"/>
    </xf>
    <xf numFmtId="3" fontId="1" fillId="72" borderId="52" xfId="152" applyNumberFormat="1" applyFont="1" applyFill="1" applyBorder="1" applyAlignment="1">
      <alignment horizontal="center" vertical="center"/>
    </xf>
    <xf numFmtId="3" fontId="1" fillId="72" borderId="53" xfId="152" applyNumberFormat="1" applyFont="1" applyFill="1" applyBorder="1" applyAlignment="1">
      <alignment horizontal="center" vertical="center"/>
    </xf>
    <xf numFmtId="9" fontId="1" fillId="71" borderId="52" xfId="152" applyFont="1" applyFill="1" applyBorder="1" applyAlignment="1">
      <alignment horizontal="center" vertical="center"/>
    </xf>
    <xf numFmtId="9" fontId="1" fillId="72" borderId="53" xfId="152" applyFont="1" applyFill="1" applyBorder="1" applyAlignment="1">
      <alignment horizontal="center" vertical="center"/>
    </xf>
    <xf numFmtId="2" fontId="1" fillId="71" borderId="52" xfId="152" applyNumberFormat="1" applyFont="1" applyFill="1" applyBorder="1" applyAlignment="1">
      <alignment horizontal="center" vertical="center"/>
    </xf>
    <xf numFmtId="2" fontId="1" fillId="72" borderId="52" xfId="152" applyNumberFormat="1" applyFont="1" applyFill="1" applyBorder="1" applyAlignment="1">
      <alignment horizontal="center" vertical="center"/>
    </xf>
    <xf numFmtId="2" fontId="1" fillId="72" borderId="53" xfId="152" applyNumberFormat="1" applyFont="1" applyFill="1" applyBorder="1" applyAlignment="1">
      <alignment horizontal="center" vertical="center"/>
    </xf>
    <xf numFmtId="0" fontId="54" fillId="71" borderId="0" xfId="0" applyFont="1" applyFill="1" applyBorder="1" applyAlignment="1">
      <alignment horizontal="center" vertical="top"/>
    </xf>
    <xf numFmtId="0" fontId="54" fillId="71" borderId="0" xfId="0" applyFont="1" applyFill="1" applyBorder="1" applyAlignment="1">
      <alignment horizontal="center" vertical="top" wrapText="1"/>
    </xf>
    <xf numFmtId="9" fontId="0" fillId="71" borderId="49" xfId="152" applyFont="1" applyFill="1" applyBorder="1"/>
    <xf numFmtId="2" fontId="0" fillId="72" borderId="50" xfId="152" applyNumberFormat="1" applyFont="1" applyFill="1" applyBorder="1" applyAlignment="1">
      <alignment horizontal="center" vertical="center"/>
    </xf>
    <xf numFmtId="9" fontId="0" fillId="71" borderId="51" xfId="152" applyFont="1" applyFill="1" applyBorder="1"/>
    <xf numFmtId="2" fontId="0" fillId="71" borderId="52" xfId="152" applyNumberFormat="1" applyFont="1" applyFill="1" applyBorder="1" applyAlignment="1">
      <alignment horizontal="center" vertical="center"/>
    </xf>
    <xf numFmtId="2" fontId="0" fillId="72" borderId="52" xfId="152" applyNumberFormat="1" applyFont="1" applyFill="1" applyBorder="1" applyAlignment="1">
      <alignment horizontal="center" vertical="center"/>
    </xf>
    <xf numFmtId="2" fontId="0" fillId="72" borderId="53" xfId="152" applyNumberFormat="1" applyFont="1" applyFill="1" applyBorder="1" applyAlignment="1">
      <alignment horizontal="center" vertical="center"/>
    </xf>
    <xf numFmtId="9" fontId="15" fillId="71" borderId="49" xfId="152" applyFont="1" applyFill="1" applyBorder="1"/>
    <xf numFmtId="2" fontId="15" fillId="71" borderId="50" xfId="152" applyNumberFormat="1" applyFont="1" applyFill="1" applyBorder="1" applyAlignment="1">
      <alignment horizontal="center" vertical="center"/>
    </xf>
    <xf numFmtId="9" fontId="15" fillId="71" borderId="51" xfId="152" applyFont="1" applyFill="1" applyBorder="1"/>
    <xf numFmtId="2" fontId="15" fillId="71" borderId="52" xfId="152" applyNumberFormat="1" applyFont="1" applyFill="1" applyBorder="1" applyAlignment="1">
      <alignment horizontal="center" vertical="center"/>
    </xf>
    <xf numFmtId="2" fontId="15" fillId="71" borderId="53" xfId="152" applyNumberFormat="1" applyFont="1" applyFill="1" applyBorder="1" applyAlignment="1">
      <alignment horizontal="center" vertical="center"/>
    </xf>
    <xf numFmtId="165" fontId="0" fillId="72" borderId="50" xfId="0" applyNumberFormat="1" applyFont="1" applyFill="1" applyBorder="1" applyAlignment="1">
      <alignment horizontal="center" vertical="center"/>
    </xf>
    <xf numFmtId="165" fontId="0" fillId="71" borderId="52" xfId="0" applyNumberFormat="1" applyFont="1" applyFill="1" applyBorder="1" applyAlignment="1">
      <alignment horizontal="center" vertical="center"/>
    </xf>
    <xf numFmtId="165" fontId="0" fillId="72" borderId="52" xfId="0" applyNumberFormat="1" applyFont="1" applyFill="1" applyBorder="1" applyAlignment="1">
      <alignment horizontal="center" vertical="center"/>
    </xf>
    <xf numFmtId="165" fontId="0" fillId="72" borderId="53" xfId="0" applyNumberFormat="1" applyFont="1" applyFill="1" applyBorder="1" applyAlignment="1">
      <alignment horizontal="center" vertical="center"/>
    </xf>
    <xf numFmtId="0" fontId="15" fillId="71" borderId="51" xfId="0" applyFont="1" applyFill="1" applyBorder="1"/>
    <xf numFmtId="165" fontId="15" fillId="71" borderId="52" xfId="0" applyNumberFormat="1" applyFont="1" applyFill="1" applyBorder="1" applyAlignment="1">
      <alignment horizontal="center" vertical="center"/>
    </xf>
    <xf numFmtId="165" fontId="15" fillId="72" borderId="52" xfId="0" applyNumberFormat="1" applyFont="1" applyFill="1" applyBorder="1" applyAlignment="1">
      <alignment horizontal="center" vertical="center"/>
    </xf>
    <xf numFmtId="165" fontId="15" fillId="72" borderId="53" xfId="0" applyNumberFormat="1" applyFont="1" applyFill="1" applyBorder="1" applyAlignment="1">
      <alignment horizontal="center" vertical="center"/>
    </xf>
    <xf numFmtId="0" fontId="15" fillId="71" borderId="47" xfId="0" applyFont="1" applyFill="1" applyBorder="1" applyAlignment="1">
      <alignment horizontal="center"/>
    </xf>
    <xf numFmtId="0" fontId="15" fillId="71" borderId="48" xfId="0" applyFont="1" applyFill="1" applyBorder="1" applyAlignment="1">
      <alignment horizontal="center"/>
    </xf>
    <xf numFmtId="0" fontId="0" fillId="71" borderId="121" xfId="0" applyFont="1" applyFill="1" applyBorder="1"/>
    <xf numFmtId="165" fontId="0" fillId="72" borderId="122" xfId="0" applyNumberFormat="1" applyFont="1" applyFill="1" applyBorder="1" applyAlignment="1">
      <alignment horizontal="center" vertical="center"/>
    </xf>
    <xf numFmtId="0" fontId="15" fillId="71" borderId="58" xfId="0" applyFont="1" applyFill="1" applyBorder="1"/>
    <xf numFmtId="165" fontId="15" fillId="71" borderId="117" xfId="0" applyNumberFormat="1" applyFont="1" applyFill="1" applyBorder="1" applyAlignment="1">
      <alignment horizontal="center"/>
    </xf>
    <xf numFmtId="165" fontId="15" fillId="72" borderId="117" xfId="0" applyNumberFormat="1" applyFont="1" applyFill="1" applyBorder="1" applyAlignment="1">
      <alignment horizontal="center" vertical="center"/>
    </xf>
    <xf numFmtId="165" fontId="15" fillId="72" borderId="118" xfId="0" applyNumberFormat="1" applyFont="1" applyFill="1" applyBorder="1" applyAlignment="1">
      <alignment horizontal="center" vertical="center"/>
    </xf>
    <xf numFmtId="3" fontId="0" fillId="71" borderId="18" xfId="0" applyNumberFormat="1" applyFont="1" applyFill="1" applyBorder="1" applyAlignment="1">
      <alignment horizontal="center" vertical="center"/>
    </xf>
    <xf numFmtId="3" fontId="0" fillId="72" borderId="18" xfId="0" applyNumberFormat="1" applyFont="1" applyFill="1" applyBorder="1" applyAlignment="1">
      <alignment horizontal="center" vertical="center"/>
    </xf>
    <xf numFmtId="3" fontId="0" fillId="72" borderId="23" xfId="0" applyNumberFormat="1" applyFont="1" applyFill="1" applyBorder="1" applyAlignment="1">
      <alignment horizontal="center" vertical="center"/>
    </xf>
    <xf numFmtId="164" fontId="0" fillId="72" borderId="23" xfId="0" applyNumberFormat="1" applyFill="1" applyBorder="1" applyAlignment="1">
      <alignment horizontal="center" vertical="center"/>
    </xf>
    <xf numFmtId="0" fontId="0" fillId="71" borderId="49" xfId="0" applyFont="1" applyFill="1" applyBorder="1" applyAlignment="1">
      <alignment wrapText="1"/>
    </xf>
    <xf numFmtId="164" fontId="0" fillId="72" borderId="50" xfId="0" applyNumberFormat="1" applyFill="1" applyBorder="1" applyAlignment="1">
      <alignment horizontal="center" vertical="center"/>
    </xf>
    <xf numFmtId="0" fontId="0" fillId="71" borderId="51" xfId="0" applyFont="1" applyFill="1" applyBorder="1" applyAlignment="1">
      <alignment wrapText="1"/>
    </xf>
    <xf numFmtId="164" fontId="0" fillId="71" borderId="52" xfId="0" applyNumberFormat="1" applyFont="1" applyFill="1" applyBorder="1" applyAlignment="1">
      <alignment horizontal="center" vertical="center"/>
    </xf>
    <xf numFmtId="164" fontId="0" fillId="72" borderId="52" xfId="0" applyNumberFormat="1" applyFill="1" applyBorder="1" applyAlignment="1">
      <alignment horizontal="center" vertical="center"/>
    </xf>
    <xf numFmtId="164" fontId="0" fillId="72" borderId="53" xfId="0" applyNumberFormat="1" applyFill="1" applyBorder="1" applyAlignment="1">
      <alignment horizontal="center" vertical="center"/>
    </xf>
    <xf numFmtId="0" fontId="0" fillId="71" borderId="49" xfId="0" applyFill="1" applyBorder="1" applyAlignment="1">
      <alignment horizontal="right"/>
    </xf>
    <xf numFmtId="0" fontId="0" fillId="0" borderId="0" xfId="0" applyAlignment="1">
      <alignment horizontal="center"/>
    </xf>
    <xf numFmtId="0" fontId="54" fillId="71" borderId="0" xfId="0" applyFont="1" applyFill="1" applyBorder="1" applyAlignment="1">
      <alignment horizontal="center" vertical="top"/>
    </xf>
    <xf numFmtId="43" fontId="1" fillId="71" borderId="18" xfId="153" applyFont="1" applyFill="1" applyBorder="1" applyAlignment="1">
      <alignment horizontal="center" vertical="center"/>
    </xf>
    <xf numFmtId="43" fontId="1" fillId="72" borderId="18" xfId="153" applyFont="1" applyFill="1" applyBorder="1" applyAlignment="1">
      <alignment horizontal="center" vertical="center"/>
    </xf>
    <xf numFmtId="9" fontId="0" fillId="72" borderId="122" xfId="152" applyFont="1" applyFill="1" applyBorder="1" applyAlignment="1">
      <alignment horizontal="center" vertical="center"/>
    </xf>
    <xf numFmtId="2" fontId="15" fillId="72" borderId="50" xfId="152" applyNumberFormat="1" applyFont="1" applyFill="1" applyBorder="1" applyAlignment="1">
      <alignment horizontal="center" vertical="center"/>
    </xf>
    <xf numFmtId="9" fontId="0" fillId="71" borderId="30" xfId="152" applyFont="1" applyFill="1" applyBorder="1" applyAlignment="1">
      <alignment horizontal="center" vertical="center"/>
    </xf>
    <xf numFmtId="9" fontId="0" fillId="71" borderId="10" xfId="152" applyFont="1" applyFill="1" applyBorder="1" applyAlignment="1">
      <alignment horizontal="center" vertical="center"/>
    </xf>
    <xf numFmtId="9" fontId="0" fillId="72" borderId="10" xfId="152" applyFont="1" applyFill="1" applyBorder="1" applyAlignment="1">
      <alignment horizontal="center" vertical="center"/>
    </xf>
    <xf numFmtId="9" fontId="0" fillId="72" borderId="116" xfId="152" applyFont="1" applyFill="1" applyBorder="1" applyAlignment="1">
      <alignment horizontal="center" vertical="center"/>
    </xf>
    <xf numFmtId="0" fontId="0" fillId="71" borderId="108" xfId="0" applyFill="1" applyBorder="1"/>
    <xf numFmtId="9" fontId="0" fillId="71" borderId="117" xfId="152" applyFont="1" applyFill="1" applyBorder="1" applyAlignment="1">
      <alignment horizontal="center" vertical="center"/>
    </xf>
    <xf numFmtId="9" fontId="0" fillId="72" borderId="117" xfId="152" applyFont="1" applyFill="1" applyBorder="1" applyAlignment="1">
      <alignment horizontal="center" vertical="center"/>
    </xf>
    <xf numFmtId="9" fontId="0" fillId="72" borderId="118" xfId="152" applyFont="1" applyFill="1" applyBorder="1" applyAlignment="1">
      <alignment horizontal="center" vertical="center"/>
    </xf>
    <xf numFmtId="2" fontId="15" fillId="71" borderId="18" xfId="0" applyNumberFormat="1" applyFont="1" applyFill="1" applyBorder="1" applyAlignment="1">
      <alignment horizontal="center" vertical="center"/>
    </xf>
    <xf numFmtId="2" fontId="15" fillId="72" borderId="18" xfId="0" applyNumberFormat="1" applyFont="1" applyFill="1" applyBorder="1" applyAlignment="1">
      <alignment horizontal="center" vertical="center"/>
    </xf>
    <xf numFmtId="2" fontId="15" fillId="72" borderId="50" xfId="0" applyNumberFormat="1" applyFont="1" applyFill="1" applyBorder="1" applyAlignment="1">
      <alignment horizontal="center" vertical="center"/>
    </xf>
    <xf numFmtId="2" fontId="1" fillId="72" borderId="50" xfId="152" applyNumberFormat="1" applyFont="1" applyFill="1" applyBorder="1" applyAlignment="1">
      <alignment horizontal="center" vertical="center"/>
    </xf>
    <xf numFmtId="165" fontId="15" fillId="71" borderId="56" xfId="0" applyNumberFormat="1" applyFont="1" applyFill="1" applyBorder="1" applyAlignment="1">
      <alignment horizontal="center" vertical="center"/>
    </xf>
    <xf numFmtId="0" fontId="34" fillId="39" borderId="10" xfId="0" applyFont="1" applyFill="1" applyBorder="1" applyAlignment="1">
      <alignment horizontal="right" vertical="center" wrapText="1"/>
    </xf>
    <xf numFmtId="0" fontId="34" fillId="39" borderId="10" xfId="0" applyFont="1" applyFill="1" applyBorder="1" applyAlignment="1">
      <alignment horizontal="left" vertical="center" wrapText="1"/>
    </xf>
    <xf numFmtId="0" fontId="33" fillId="39" borderId="10" xfId="0" applyFont="1" applyFill="1" applyBorder="1" applyAlignment="1">
      <alignment vertical="center" wrapText="1"/>
    </xf>
    <xf numFmtId="0" fontId="15" fillId="71" borderId="121" xfId="0" applyFont="1" applyFill="1" applyBorder="1"/>
    <xf numFmtId="2" fontId="15" fillId="71" borderId="30" xfId="0" applyNumberFormat="1" applyFont="1" applyFill="1" applyBorder="1" applyAlignment="1">
      <alignment horizontal="center" vertical="center"/>
    </xf>
    <xf numFmtId="2" fontId="15" fillId="72" borderId="30" xfId="152" applyNumberFormat="1" applyFont="1" applyFill="1" applyBorder="1" applyAlignment="1">
      <alignment horizontal="center" vertical="center"/>
    </xf>
    <xf numFmtId="2" fontId="15" fillId="72" borderId="122" xfId="152" applyNumberFormat="1" applyFont="1" applyFill="1" applyBorder="1" applyAlignment="1">
      <alignment horizontal="center" vertical="center"/>
    </xf>
    <xf numFmtId="2" fontId="1" fillId="71" borderId="10" xfId="152" applyNumberFormat="1" applyFont="1" applyFill="1" applyBorder="1" applyAlignment="1">
      <alignment horizontal="center" vertical="center"/>
    </xf>
    <xf numFmtId="2" fontId="1" fillId="72" borderId="10" xfId="152" applyNumberFormat="1" applyFont="1" applyFill="1" applyBorder="1" applyAlignment="1">
      <alignment horizontal="center" vertical="center"/>
    </xf>
    <xf numFmtId="2" fontId="1" fillId="72" borderId="116" xfId="152" applyNumberFormat="1" applyFont="1" applyFill="1" applyBorder="1" applyAlignment="1">
      <alignment horizontal="center" vertical="center"/>
    </xf>
    <xf numFmtId="2" fontId="1" fillId="71" borderId="117" xfId="152" applyNumberFormat="1" applyFont="1" applyFill="1" applyBorder="1" applyAlignment="1">
      <alignment horizontal="center" vertical="center"/>
    </xf>
    <xf numFmtId="2" fontId="1" fillId="72" borderId="117" xfId="152" applyNumberFormat="1" applyFont="1" applyFill="1" applyBorder="1" applyAlignment="1">
      <alignment horizontal="center" vertical="center"/>
    </xf>
    <xf numFmtId="2" fontId="1" fillId="72" borderId="118" xfId="152" applyNumberFormat="1" applyFont="1" applyFill="1" applyBorder="1" applyAlignment="1">
      <alignment horizontal="center" vertical="center"/>
    </xf>
    <xf numFmtId="1" fontId="0" fillId="72" borderId="30" xfId="0" applyNumberFormat="1" applyFont="1" applyFill="1" applyBorder="1" applyAlignment="1">
      <alignment horizontal="center" vertical="center"/>
    </xf>
    <xf numFmtId="1" fontId="0" fillId="72" borderId="123" xfId="0" applyNumberFormat="1" applyFont="1" applyFill="1" applyBorder="1" applyAlignment="1">
      <alignment horizontal="center" vertical="center"/>
    </xf>
    <xf numFmtId="1" fontId="0" fillId="72" borderId="57" xfId="0" applyNumberFormat="1" applyFont="1" applyFill="1" applyBorder="1" applyAlignment="1">
      <alignment horizontal="center" vertical="center"/>
    </xf>
    <xf numFmtId="3" fontId="15" fillId="71" borderId="18" xfId="152" applyNumberFormat="1" applyFont="1" applyFill="1" applyBorder="1" applyAlignment="1">
      <alignment horizontal="center" vertical="center"/>
    </xf>
    <xf numFmtId="3" fontId="15" fillId="72" borderId="18" xfId="152" applyNumberFormat="1" applyFont="1" applyFill="1" applyBorder="1" applyAlignment="1">
      <alignment horizontal="center" vertical="center"/>
    </xf>
    <xf numFmtId="3" fontId="15" fillId="72" borderId="50" xfId="152" applyNumberFormat="1" applyFont="1" applyFill="1" applyBorder="1" applyAlignment="1">
      <alignment horizontal="center" vertical="center"/>
    </xf>
    <xf numFmtId="3" fontId="1" fillId="71" borderId="30" xfId="152" applyNumberFormat="1" applyFont="1" applyFill="1" applyBorder="1" applyAlignment="1">
      <alignment horizontal="center" vertical="center"/>
    </xf>
    <xf numFmtId="3" fontId="1" fillId="72" borderId="30" xfId="152" applyNumberFormat="1" applyFont="1" applyFill="1" applyBorder="1" applyAlignment="1">
      <alignment horizontal="center" vertical="center"/>
    </xf>
    <xf numFmtId="0" fontId="54" fillId="71" borderId="0" xfId="0" applyFont="1" applyFill="1" applyBorder="1" applyAlignment="1">
      <alignment horizontal="center" vertical="top"/>
    </xf>
    <xf numFmtId="0" fontId="0" fillId="71" borderId="31" xfId="0" applyFill="1" applyBorder="1" applyAlignment="1">
      <alignment wrapText="1"/>
    </xf>
    <xf numFmtId="0" fontId="0" fillId="71" borderId="49" xfId="0" applyFont="1" applyFill="1" applyBorder="1" applyAlignment="1">
      <alignment horizontal="left" wrapText="1"/>
    </xf>
    <xf numFmtId="0" fontId="0" fillId="71" borderId="49" xfId="0" applyFill="1" applyBorder="1" applyAlignment="1">
      <alignment horizontal="left" wrapText="1"/>
    </xf>
    <xf numFmtId="0" fontId="0" fillId="71" borderId="51" xfId="0" applyFill="1" applyBorder="1" applyAlignment="1">
      <alignment horizontal="left" wrapText="1"/>
    </xf>
    <xf numFmtId="0" fontId="0" fillId="71" borderId="51" xfId="0" applyFont="1" applyFill="1" applyBorder="1" applyAlignment="1">
      <alignment horizontal="left" wrapText="1"/>
    </xf>
    <xf numFmtId="0" fontId="0" fillId="71" borderId="49" xfId="0" applyFill="1" applyBorder="1" applyAlignment="1">
      <alignment horizontal="right" wrapText="1"/>
    </xf>
    <xf numFmtId="0" fontId="54" fillId="71" borderId="0" xfId="0" applyFont="1" applyFill="1" applyBorder="1" applyAlignment="1">
      <alignment horizontal="center" vertical="top"/>
    </xf>
    <xf numFmtId="9" fontId="70" fillId="71" borderId="18" xfId="152" applyFont="1" applyFill="1" applyBorder="1" applyAlignment="1">
      <alignment horizontal="center" vertical="center"/>
    </xf>
    <xf numFmtId="165" fontId="70" fillId="71" borderId="18" xfId="152" applyNumberFormat="1" applyFont="1" applyFill="1" applyBorder="1" applyAlignment="1">
      <alignment horizontal="center" vertical="center"/>
    </xf>
    <xf numFmtId="9" fontId="67" fillId="71" borderId="18" xfId="152" applyFont="1" applyFill="1" applyBorder="1" applyAlignment="1">
      <alignment horizontal="center" vertical="center"/>
    </xf>
    <xf numFmtId="9" fontId="67" fillId="72" borderId="18" xfId="152" applyFont="1" applyFill="1" applyBorder="1" applyAlignment="1">
      <alignment horizontal="center" vertical="center"/>
    </xf>
    <xf numFmtId="165" fontId="67" fillId="72" borderId="18" xfId="152" applyNumberFormat="1" applyFont="1" applyFill="1" applyBorder="1" applyAlignment="1">
      <alignment horizontal="center" vertical="center"/>
    </xf>
    <xf numFmtId="9" fontId="70" fillId="71" borderId="18" xfId="152" applyNumberFormat="1" applyFont="1" applyFill="1" applyBorder="1" applyAlignment="1">
      <alignment horizontal="center" vertical="center"/>
    </xf>
    <xf numFmtId="0" fontId="0" fillId="71" borderId="41" xfId="0" applyFill="1" applyBorder="1" applyAlignment="1">
      <alignment wrapText="1"/>
    </xf>
    <xf numFmtId="0" fontId="15" fillId="71" borderId="31" xfId="0" applyFont="1" applyFill="1" applyBorder="1" applyAlignment="1">
      <alignment wrapText="1"/>
    </xf>
    <xf numFmtId="0" fontId="282" fillId="71" borderId="31" xfId="0" applyFont="1" applyFill="1" applyBorder="1" applyAlignment="1">
      <alignment horizontal="left" wrapText="1"/>
    </xf>
    <xf numFmtId="0" fontId="282" fillId="71" borderId="31" xfId="0" applyFont="1" applyFill="1" applyBorder="1" applyAlignment="1">
      <alignment horizontal="left"/>
    </xf>
    <xf numFmtId="164" fontId="0" fillId="0" borderId="0" xfId="152" applyNumberFormat="1" applyFont="1"/>
    <xf numFmtId="0" fontId="46" fillId="68" borderId="10" xfId="0" applyFont="1" applyFill="1" applyBorder="1" applyAlignment="1">
      <alignment horizontal="left" vertical="center" wrapText="1"/>
    </xf>
    <xf numFmtId="0" fontId="87" fillId="68" borderId="10" xfId="0" applyFont="1" applyFill="1" applyBorder="1" applyAlignment="1">
      <alignment horizontal="left" vertical="center" wrapText="1"/>
    </xf>
    <xf numFmtId="0" fontId="48" fillId="69" borderId="10" xfId="0" applyFont="1" applyFill="1" applyBorder="1" applyAlignment="1">
      <alignment horizontal="center" vertical="center" wrapText="1"/>
    </xf>
    <xf numFmtId="0" fontId="54" fillId="71" borderId="0" xfId="0" applyFont="1" applyFill="1" applyBorder="1" applyAlignment="1">
      <alignment horizontal="center" vertical="top"/>
    </xf>
    <xf numFmtId="0" fontId="49" fillId="71" borderId="0" xfId="0" applyFont="1" applyFill="1" applyAlignment="1">
      <alignment horizontal="left" vertical="top" wrapText="1"/>
    </xf>
    <xf numFmtId="0" fontId="49" fillId="71" borderId="0" xfId="0" applyFont="1" applyFill="1" applyAlignment="1">
      <alignment horizontal="left" vertical="top"/>
    </xf>
    <xf numFmtId="0" fontId="53" fillId="71" borderId="0" xfId="0" applyFont="1" applyFill="1" applyAlignment="1">
      <alignment horizontal="left" vertical="top" wrapText="1"/>
    </xf>
    <xf numFmtId="0" fontId="53" fillId="71" borderId="0" xfId="0" applyFont="1" applyFill="1" applyAlignment="1">
      <alignment horizontal="left" vertical="top"/>
    </xf>
    <xf numFmtId="0" fontId="15" fillId="71" borderId="28" xfId="0" applyFont="1" applyFill="1" applyBorder="1" applyAlignment="1">
      <alignment horizontal="center" vertical="center"/>
    </xf>
    <xf numFmtId="0" fontId="54" fillId="71" borderId="27" xfId="0" applyFont="1" applyFill="1" applyBorder="1" applyAlignment="1">
      <alignment horizontal="center" vertical="top"/>
    </xf>
    <xf numFmtId="0" fontId="278" fillId="0" borderId="111" xfId="0" applyFont="1" applyBorder="1" applyAlignment="1">
      <alignment horizontal="left"/>
    </xf>
    <xf numFmtId="0" fontId="15" fillId="71" borderId="0" xfId="0" applyFont="1" applyFill="1" applyAlignment="1">
      <alignment horizontal="center" vertical="center"/>
    </xf>
    <xf numFmtId="0" fontId="277" fillId="0" borderId="111" xfId="0" applyFont="1" applyBorder="1" applyAlignment="1">
      <alignment horizontal="left"/>
    </xf>
    <xf numFmtId="0" fontId="57" fillId="129" borderId="36" xfId="163" applyFont="1" applyFill="1" applyBorder="1" applyAlignment="1">
      <alignment horizontal="center" vertical="center"/>
    </xf>
    <xf numFmtId="0" fontId="57" fillId="129" borderId="11" xfId="163" applyFont="1" applyFill="1" applyBorder="1" applyAlignment="1">
      <alignment horizontal="center" vertical="center"/>
    </xf>
    <xf numFmtId="0" fontId="57" fillId="39" borderId="0" xfId="163" applyFont="1" applyFill="1" applyBorder="1" applyAlignment="1">
      <alignment horizontal="center" vertical="center" wrapText="1"/>
    </xf>
    <xf numFmtId="0" fontId="57" fillId="129" borderId="10" xfId="0" applyFont="1" applyFill="1" applyBorder="1" applyAlignment="1">
      <alignment horizontal="center" vertical="center"/>
    </xf>
    <xf numFmtId="0" fontId="65" fillId="128" borderId="14" xfId="163" applyFont="1" applyFill="1" applyBorder="1" applyAlignment="1">
      <alignment horizontal="center" vertical="center" wrapText="1"/>
    </xf>
    <xf numFmtId="0" fontId="65" fillId="128" borderId="16" xfId="163" applyFont="1" applyFill="1" applyBorder="1" applyAlignment="1">
      <alignment horizontal="center" vertical="center" wrapText="1"/>
    </xf>
    <xf numFmtId="0" fontId="65" fillId="39" borderId="0" xfId="163" applyFont="1" applyFill="1" applyBorder="1" applyAlignment="1">
      <alignment horizontal="center" vertical="center" wrapText="1"/>
    </xf>
    <xf numFmtId="0" fontId="15" fillId="71" borderId="0" xfId="0" applyFont="1" applyFill="1" applyBorder="1" applyAlignment="1">
      <alignment horizontal="center" vertical="center"/>
    </xf>
    <xf numFmtId="0" fontId="57" fillId="131" borderId="10"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57" fillId="131" borderId="110" xfId="163" applyFont="1" applyFill="1" applyBorder="1" applyAlignment="1">
      <alignment horizontal="center" vertical="center" wrapText="1"/>
    </xf>
    <xf numFmtId="0" fontId="65" fillId="130" borderId="14" xfId="163" applyFont="1" applyFill="1" applyBorder="1" applyAlignment="1">
      <alignment horizontal="center" vertical="center" wrapText="1"/>
    </xf>
    <xf numFmtId="0" fontId="65" fillId="130" borderId="16" xfId="163" applyFont="1" applyFill="1" applyBorder="1" applyAlignment="1">
      <alignment horizontal="center" vertical="center" wrapText="1"/>
    </xf>
    <xf numFmtId="0" fontId="15" fillId="71" borderId="45" xfId="0" applyFont="1" applyFill="1" applyBorder="1" applyAlignment="1">
      <alignment horizontal="center" vertical="center"/>
    </xf>
    <xf numFmtId="0" fontId="279" fillId="0" borderId="112" xfId="0" applyFont="1" applyBorder="1" applyAlignment="1">
      <alignment horizontal="left"/>
    </xf>
    <xf numFmtId="0" fontId="54" fillId="71" borderId="0" xfId="0" applyFont="1" applyFill="1" applyBorder="1" applyAlignment="1">
      <alignment horizontal="center" vertical="center" wrapText="1"/>
    </xf>
    <xf numFmtId="0" fontId="54" fillId="71" borderId="27" xfId="0" applyFont="1" applyFill="1" applyBorder="1" applyAlignment="1">
      <alignment horizontal="center" vertical="top" wrapText="1"/>
    </xf>
    <xf numFmtId="0" fontId="54" fillId="71" borderId="0" xfId="0" applyFont="1" applyFill="1" applyBorder="1" applyAlignment="1">
      <alignment horizontal="center" vertical="top" wrapText="1"/>
    </xf>
    <xf numFmtId="0" fontId="54" fillId="71" borderId="57" xfId="0" applyFont="1" applyFill="1" applyBorder="1" applyAlignment="1">
      <alignment horizontal="center" vertical="top"/>
    </xf>
    <xf numFmtId="0" fontId="68" fillId="130" borderId="14" xfId="163" applyFont="1" applyFill="1" applyBorder="1" applyAlignment="1">
      <alignment horizontal="center" vertical="center" wrapText="1"/>
    </xf>
    <xf numFmtId="0" fontId="54" fillId="71" borderId="54" xfId="0" applyFont="1" applyFill="1" applyBorder="1" applyAlignment="1">
      <alignment horizontal="center" vertical="top" wrapText="1"/>
    </xf>
    <xf numFmtId="9" fontId="287" fillId="71" borderId="0" xfId="152" applyFont="1" applyFill="1" applyBorder="1" applyAlignment="1">
      <alignment horizontal="center"/>
    </xf>
    <xf numFmtId="0" fontId="278" fillId="0" borderId="111" xfId="0" applyFont="1" applyBorder="1" applyAlignment="1">
      <alignment horizontal="left" wrapText="1"/>
    </xf>
    <xf numFmtId="0" fontId="54" fillId="71" borderId="27" xfId="0" applyFont="1" applyFill="1" applyBorder="1" applyAlignment="1">
      <alignment horizontal="left" vertical="top"/>
    </xf>
    <xf numFmtId="9" fontId="287" fillId="71" borderId="57" xfId="152" applyFont="1" applyFill="1" applyBorder="1" applyAlignment="1">
      <alignment horizontal="center"/>
    </xf>
    <xf numFmtId="0" fontId="54" fillId="71" borderId="0" xfId="0" applyFont="1" applyFill="1" applyAlignment="1">
      <alignment horizontal="center" vertical="top" wrapText="1"/>
    </xf>
    <xf numFmtId="0" fontId="0" fillId="71" borderId="0" xfId="0" applyFill="1" applyAlignment="1">
      <alignment horizontal="left" vertical="top" wrapText="1"/>
    </xf>
    <xf numFmtId="0" fontId="0" fillId="71" borderId="0" xfId="0" applyFill="1" applyAlignment="1">
      <alignment horizontal="left" vertical="top"/>
    </xf>
    <xf numFmtId="0" fontId="276" fillId="0" borderId="0" xfId="0" applyFont="1" applyAlignment="1">
      <alignment horizontal="center"/>
    </xf>
    <xf numFmtId="0" fontId="290" fillId="71" borderId="0" xfId="0" applyFont="1" applyFill="1" applyAlignment="1">
      <alignment horizontal="left" vertical="top" wrapText="1"/>
    </xf>
    <xf numFmtId="0" fontId="290" fillId="71" borderId="0" xfId="0" applyFont="1" applyFill="1" applyAlignment="1">
      <alignment horizontal="left" vertical="top"/>
    </xf>
    <xf numFmtId="0" fontId="288" fillId="71" borderId="54" xfId="0" applyFont="1" applyFill="1" applyBorder="1" applyAlignment="1">
      <alignment horizontal="center"/>
    </xf>
    <xf numFmtId="0" fontId="54" fillId="71" borderId="57" xfId="0" applyFont="1" applyFill="1" applyBorder="1" applyAlignment="1">
      <alignment horizontal="center" vertical="top" wrapText="1"/>
    </xf>
    <xf numFmtId="0" fontId="64" fillId="0" borderId="14" xfId="0" applyFont="1" applyBorder="1" applyAlignment="1">
      <alignment horizontal="center"/>
    </xf>
    <xf numFmtId="0" fontId="64" fillId="0" borderId="15" xfId="0" applyFont="1" applyBorder="1" applyAlignment="1">
      <alignment horizontal="center"/>
    </xf>
    <xf numFmtId="0" fontId="64" fillId="0" borderId="16" xfId="0" applyFont="1" applyBorder="1" applyAlignment="1">
      <alignment horizontal="center"/>
    </xf>
    <xf numFmtId="0" fontId="59" fillId="0" borderId="13"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16"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6" xfId="0" applyFont="1" applyBorder="1" applyAlignment="1">
      <alignment horizontal="center" vertical="center" wrapText="1"/>
    </xf>
    <xf numFmtId="0" fontId="57" fillId="129" borderId="14" xfId="0" applyFont="1" applyFill="1" applyBorder="1" applyAlignment="1">
      <alignment horizontal="center" vertical="center"/>
    </xf>
    <xf numFmtId="0" fontId="57" fillId="129" borderId="15" xfId="0" applyFont="1" applyFill="1" applyBorder="1" applyAlignment="1">
      <alignment horizontal="center" vertical="center"/>
    </xf>
    <xf numFmtId="0" fontId="57" fillId="129" borderId="35" xfId="0" applyFont="1" applyFill="1" applyBorder="1" applyAlignment="1">
      <alignment horizontal="center" vertical="center"/>
    </xf>
    <xf numFmtId="0" fontId="57" fillId="131" borderId="15" xfId="0" applyFont="1" applyFill="1" applyBorder="1" applyAlignment="1">
      <alignment horizontal="center" vertical="center"/>
    </xf>
    <xf numFmtId="0" fontId="57" fillId="131" borderId="16" xfId="0" applyFont="1" applyFill="1" applyBorder="1" applyAlignment="1">
      <alignment horizontal="center" vertical="center"/>
    </xf>
    <xf numFmtId="0" fontId="20" fillId="71" borderId="0" xfId="163" applyFill="1" applyAlignment="1">
      <alignment horizontal="center" vertical="center" wrapText="1"/>
    </xf>
    <xf numFmtId="0" fontId="0" fillId="71" borderId="0" xfId="0" applyFill="1" applyAlignment="1">
      <alignment horizontal="center" vertical="center" wrapText="1"/>
    </xf>
    <xf numFmtId="0" fontId="57" fillId="131" borderId="11" xfId="163" applyFont="1" applyFill="1" applyBorder="1" applyAlignment="1">
      <alignment horizontal="center" vertical="center" wrapText="1"/>
    </xf>
    <xf numFmtId="0" fontId="0" fillId="0" borderId="29" xfId="0" applyBorder="1" applyAlignment="1">
      <alignment horizontal="center" vertical="center"/>
    </xf>
    <xf numFmtId="168" fontId="34" fillId="0" borderId="13" xfId="155" applyNumberFormat="1" applyFont="1" applyBorder="1" applyAlignment="1">
      <alignment horizontal="left" vertical="center"/>
    </xf>
    <xf numFmtId="168" fontId="34" fillId="0" borderId="17" xfId="155" applyNumberFormat="1" applyFont="1" applyBorder="1" applyAlignment="1">
      <alignment horizontal="left" vertical="center"/>
    </xf>
    <xf numFmtId="0" fontId="0" fillId="41" borderId="0" xfId="0" applyFill="1" applyBorder="1" applyAlignment="1">
      <alignment horizontal="center"/>
    </xf>
    <xf numFmtId="0" fontId="25" fillId="39" borderId="0" xfId="0" applyFont="1" applyFill="1" applyAlignment="1">
      <alignment horizontal="left"/>
    </xf>
    <xf numFmtId="0" fontId="26" fillId="39" borderId="0" xfId="0" applyFont="1" applyFill="1" applyAlignment="1">
      <alignment horizontal="left"/>
    </xf>
    <xf numFmtId="0" fontId="34" fillId="39" borderId="12" xfId="0" applyFont="1" applyFill="1" applyBorder="1" applyAlignment="1">
      <alignment wrapText="1"/>
    </xf>
    <xf numFmtId="0" fontId="0" fillId="63" borderId="10" xfId="0" applyFill="1" applyBorder="1" applyAlignment="1">
      <alignment horizontal="center"/>
    </xf>
    <xf numFmtId="0" fontId="0" fillId="64" borderId="0" xfId="0" applyFill="1" applyBorder="1" applyAlignment="1">
      <alignment horizontal="center"/>
    </xf>
    <xf numFmtId="0" fontId="26" fillId="39" borderId="0" xfId="0" applyFont="1" applyFill="1"/>
    <xf numFmtId="0" fontId="0" fillId="42" borderId="0" xfId="0" applyFill="1" applyBorder="1" applyAlignment="1">
      <alignment horizontal="center"/>
    </xf>
    <xf numFmtId="0" fontId="0" fillId="66" borderId="0" xfId="0" applyFill="1" applyBorder="1" applyAlignment="1">
      <alignment horizontal="center"/>
    </xf>
    <xf numFmtId="0" fontId="0" fillId="65" borderId="0" xfId="0" applyFill="1" applyBorder="1" applyAlignment="1">
      <alignment horizontal="center"/>
    </xf>
  </cellXfs>
  <cellStyles count="3545">
    <cellStyle name="€ : (converti en EURO)" xfId="165" xr:uid="{00000000-0005-0000-0000-000000000000}"/>
    <cellStyle name="€ : (converti en EURO) 2" xfId="166" xr:uid="{00000000-0005-0000-0000-000001000000}"/>
    <cellStyle name="€ : (converti en EURO) 2 2" xfId="167" xr:uid="{00000000-0005-0000-0000-000002000000}"/>
    <cellStyle name="€ : (converti en EURO) 2 3" xfId="168" xr:uid="{00000000-0005-0000-0000-000003000000}"/>
    <cellStyle name="€ : (converti en EURO) 3" xfId="169" xr:uid="{00000000-0005-0000-0000-000004000000}"/>
    <cellStyle name="€ : (converti en EURO) 3 2" xfId="170" xr:uid="{00000000-0005-0000-0000-000005000000}"/>
    <cellStyle name="€ : (converti en EURO) 3 3" xfId="171" xr:uid="{00000000-0005-0000-0000-000006000000}"/>
    <cellStyle name="€ : (converti en EURO) 4" xfId="172" xr:uid="{00000000-0005-0000-0000-000007000000}"/>
    <cellStyle name="€ : (converti en EURO) 4 2" xfId="173" xr:uid="{00000000-0005-0000-0000-000008000000}"/>
    <cellStyle name="€ : (converti en EURO) 4 3" xfId="174" xr:uid="{00000000-0005-0000-0000-000009000000}"/>
    <cellStyle name="€ : (converti en EURO) 5" xfId="175" xr:uid="{00000000-0005-0000-0000-00000A000000}"/>
    <cellStyle name="€ : (converti en EURO) 6" xfId="176" xr:uid="{00000000-0005-0000-0000-00000B000000}"/>
    <cellStyle name="€ : (formule ECRASEE)" xfId="177" xr:uid="{00000000-0005-0000-0000-00000C000000}"/>
    <cellStyle name="€ : (formule ECRASEE) 2" xfId="178" xr:uid="{00000000-0005-0000-0000-00000D000000}"/>
    <cellStyle name="€ : (formule ECRASEE) 2 2" xfId="179" xr:uid="{00000000-0005-0000-0000-00000E000000}"/>
    <cellStyle name="€ : (formule ECRASEE) 2 3" xfId="180" xr:uid="{00000000-0005-0000-0000-00000F000000}"/>
    <cellStyle name="€ : (formule ECRASEE) 3" xfId="181" xr:uid="{00000000-0005-0000-0000-000010000000}"/>
    <cellStyle name="€ : (formule ECRASEE) 4" xfId="182" xr:uid="{00000000-0005-0000-0000-000011000000}"/>
    <cellStyle name="€ : (NON converti)" xfId="183" xr:uid="{00000000-0005-0000-0000-000012000000}"/>
    <cellStyle name="€ : (NON converti) 2" xfId="184" xr:uid="{00000000-0005-0000-0000-000013000000}"/>
    <cellStyle name="€ : (NON converti) 2 2" xfId="185" xr:uid="{00000000-0005-0000-0000-000014000000}"/>
    <cellStyle name="€ : (NON converti) 2 3" xfId="186" xr:uid="{00000000-0005-0000-0000-000015000000}"/>
    <cellStyle name="€ : (NON converti) 3" xfId="187" xr:uid="{00000000-0005-0000-0000-000016000000}"/>
    <cellStyle name="€ : (NON converti) 3 2" xfId="188" xr:uid="{00000000-0005-0000-0000-000017000000}"/>
    <cellStyle name="€ : (NON converti) 3 3" xfId="189" xr:uid="{00000000-0005-0000-0000-000018000000}"/>
    <cellStyle name="€ : (NON converti) 4" xfId="190" xr:uid="{00000000-0005-0000-0000-000019000000}"/>
    <cellStyle name="€ : (NON converti) 4 2" xfId="191" xr:uid="{00000000-0005-0000-0000-00001A000000}"/>
    <cellStyle name="€ : (NON converti) 4 3" xfId="192" xr:uid="{00000000-0005-0000-0000-00001B000000}"/>
    <cellStyle name="€ : (NON converti) 5" xfId="193" xr:uid="{00000000-0005-0000-0000-00001C000000}"/>
    <cellStyle name="€ : (NON converti) 6" xfId="194" xr:uid="{00000000-0005-0000-0000-00001D000000}"/>
    <cellStyle name="€ : (passage a l'EURO)" xfId="195" xr:uid="{00000000-0005-0000-0000-00001E000000}"/>
    <cellStyle name="€ : (passage a l'EURO) 2" xfId="196" xr:uid="{00000000-0005-0000-0000-00001F000000}"/>
    <cellStyle name="€ : (passage a l'EURO) 2 2" xfId="197" xr:uid="{00000000-0005-0000-0000-000020000000}"/>
    <cellStyle name="€ : (passage a l'EURO) 2 3" xfId="198" xr:uid="{00000000-0005-0000-0000-000021000000}"/>
    <cellStyle name="€ : (passage a l'EURO) 3" xfId="199" xr:uid="{00000000-0005-0000-0000-000022000000}"/>
    <cellStyle name="€ : (passage a l'EURO) 3 2" xfId="200" xr:uid="{00000000-0005-0000-0000-000023000000}"/>
    <cellStyle name="€ : (passage a l'EURO) 3 3" xfId="201" xr:uid="{00000000-0005-0000-0000-000024000000}"/>
    <cellStyle name="€ : (passage a l'EURO) 4" xfId="202" xr:uid="{00000000-0005-0000-0000-000025000000}"/>
    <cellStyle name="€ : (passage a l'EURO) 4 2" xfId="203" xr:uid="{00000000-0005-0000-0000-000026000000}"/>
    <cellStyle name="€ : (passage a l'EURO) 4 3" xfId="204" xr:uid="{00000000-0005-0000-0000-000027000000}"/>
    <cellStyle name="€ : (passage a l'EURO) 5" xfId="205" xr:uid="{00000000-0005-0000-0000-000028000000}"/>
    <cellStyle name="€ : (passage a l'EURO) 6" xfId="206" xr:uid="{00000000-0005-0000-0000-000029000000}"/>
    <cellStyle name="20 % - Accent1" xfId="207" xr:uid="{00000000-0005-0000-0000-00002A000000}"/>
    <cellStyle name="20 % - Accent1 2" xfId="208" xr:uid="{00000000-0005-0000-0000-00002B000000}"/>
    <cellStyle name="20 % - Accent1 2 2" xfId="209" xr:uid="{00000000-0005-0000-0000-00002C000000}"/>
    <cellStyle name="20 % - Accent1 3" xfId="210" xr:uid="{00000000-0005-0000-0000-00002D000000}"/>
    <cellStyle name="20 % - Accent2" xfId="211" xr:uid="{00000000-0005-0000-0000-00002E000000}"/>
    <cellStyle name="20 % - Accent2 2" xfId="212" xr:uid="{00000000-0005-0000-0000-00002F000000}"/>
    <cellStyle name="20 % - Accent2 2 2" xfId="213" xr:uid="{00000000-0005-0000-0000-000030000000}"/>
    <cellStyle name="20 % - Accent2 3" xfId="214" xr:uid="{00000000-0005-0000-0000-000031000000}"/>
    <cellStyle name="20 % - Accent3" xfId="215" xr:uid="{00000000-0005-0000-0000-000032000000}"/>
    <cellStyle name="20 % - Accent3 2" xfId="216" xr:uid="{00000000-0005-0000-0000-000033000000}"/>
    <cellStyle name="20 % - Accent3 2 2" xfId="217" xr:uid="{00000000-0005-0000-0000-000034000000}"/>
    <cellStyle name="20 % - Accent3 3" xfId="218" xr:uid="{00000000-0005-0000-0000-000035000000}"/>
    <cellStyle name="20 % - Accent4" xfId="219" xr:uid="{00000000-0005-0000-0000-000036000000}"/>
    <cellStyle name="20 % - Accent4 2" xfId="220" xr:uid="{00000000-0005-0000-0000-000037000000}"/>
    <cellStyle name="20 % - Accent4 2 2" xfId="221" xr:uid="{00000000-0005-0000-0000-000038000000}"/>
    <cellStyle name="20 % - Accent4 3" xfId="222" xr:uid="{00000000-0005-0000-0000-000039000000}"/>
    <cellStyle name="20 % - Accent5" xfId="223" xr:uid="{00000000-0005-0000-0000-00003A000000}"/>
    <cellStyle name="20 % - Accent5 2" xfId="224" xr:uid="{00000000-0005-0000-0000-00003B000000}"/>
    <cellStyle name="20 % - Accent5 2 2" xfId="225" xr:uid="{00000000-0005-0000-0000-00003C000000}"/>
    <cellStyle name="20 % - Accent5 3" xfId="226" xr:uid="{00000000-0005-0000-0000-00003D000000}"/>
    <cellStyle name="20 % - Accent6" xfId="227" xr:uid="{00000000-0005-0000-0000-00003E000000}"/>
    <cellStyle name="20 % - Accent6 2" xfId="228" xr:uid="{00000000-0005-0000-0000-00003F000000}"/>
    <cellStyle name="20 % - Accent6 2 2" xfId="229" xr:uid="{00000000-0005-0000-0000-000040000000}"/>
    <cellStyle name="20 % - Accent6 3" xfId="230" xr:uid="{00000000-0005-0000-0000-000041000000}"/>
    <cellStyle name="20 % - Accent1" xfId="17" builtinId="30" customBuiltin="1"/>
    <cellStyle name="20 % - Accent1 2" xfId="84" xr:uid="{00000000-0005-0000-0000-000043000000}"/>
    <cellStyle name="20 % - Accent1 2 2" xfId="132" xr:uid="{00000000-0005-0000-0000-000044000000}"/>
    <cellStyle name="20 % - Accent1 2 2 2" xfId="232" xr:uid="{00000000-0005-0000-0000-000045000000}"/>
    <cellStyle name="20 % - Accent1 2 3" xfId="233" xr:uid="{00000000-0005-0000-0000-000046000000}"/>
    <cellStyle name="20 % - Accent1 2 4" xfId="231" xr:uid="{00000000-0005-0000-0000-000047000000}"/>
    <cellStyle name="20 % - Accent1 3" xfId="111" xr:uid="{00000000-0005-0000-0000-000048000000}"/>
    <cellStyle name="20 % - Accent2" xfId="21" builtinId="34" customBuiltin="1"/>
    <cellStyle name="20 % - Accent2 2" xfId="86" xr:uid="{00000000-0005-0000-0000-00004A000000}"/>
    <cellStyle name="20 % - Accent2 2 2" xfId="134" xr:uid="{00000000-0005-0000-0000-00004B000000}"/>
    <cellStyle name="20 % - Accent2 2 2 2" xfId="235" xr:uid="{00000000-0005-0000-0000-00004C000000}"/>
    <cellStyle name="20 % - Accent2 2 3" xfId="236" xr:uid="{00000000-0005-0000-0000-00004D000000}"/>
    <cellStyle name="20 % - Accent2 2 4" xfId="234" xr:uid="{00000000-0005-0000-0000-00004E000000}"/>
    <cellStyle name="20 % - Accent2 3" xfId="113" xr:uid="{00000000-0005-0000-0000-00004F000000}"/>
    <cellStyle name="20 % - Accent3" xfId="25" builtinId="38" customBuiltin="1"/>
    <cellStyle name="20 % - Accent3 2" xfId="88" xr:uid="{00000000-0005-0000-0000-000051000000}"/>
    <cellStyle name="20 % - Accent3 2 2" xfId="136" xr:uid="{00000000-0005-0000-0000-000052000000}"/>
    <cellStyle name="20 % - Accent3 2 2 2" xfId="238" xr:uid="{00000000-0005-0000-0000-000053000000}"/>
    <cellStyle name="20 % - Accent3 2 3" xfId="239" xr:uid="{00000000-0005-0000-0000-000054000000}"/>
    <cellStyle name="20 % - Accent3 2 4" xfId="237" xr:uid="{00000000-0005-0000-0000-000055000000}"/>
    <cellStyle name="20 % - Accent3 3" xfId="115" xr:uid="{00000000-0005-0000-0000-000056000000}"/>
    <cellStyle name="20 % - Accent4" xfId="29" builtinId="42" customBuiltin="1"/>
    <cellStyle name="20 % - Accent4 2" xfId="90" xr:uid="{00000000-0005-0000-0000-000058000000}"/>
    <cellStyle name="20 % - Accent4 2 2" xfId="138" xr:uid="{00000000-0005-0000-0000-000059000000}"/>
    <cellStyle name="20 % - Accent4 2 2 2" xfId="241" xr:uid="{00000000-0005-0000-0000-00005A000000}"/>
    <cellStyle name="20 % - Accent4 2 3" xfId="242" xr:uid="{00000000-0005-0000-0000-00005B000000}"/>
    <cellStyle name="20 % - Accent4 2 4" xfId="240" xr:uid="{00000000-0005-0000-0000-00005C000000}"/>
    <cellStyle name="20 % - Accent4 3" xfId="117" xr:uid="{00000000-0005-0000-0000-00005D000000}"/>
    <cellStyle name="20 % - Accent5" xfId="33" builtinId="46" customBuiltin="1"/>
    <cellStyle name="20 % - Accent5 2" xfId="92" xr:uid="{00000000-0005-0000-0000-00005F000000}"/>
    <cellStyle name="20 % - Accent5 2 2" xfId="140" xr:uid="{00000000-0005-0000-0000-000060000000}"/>
    <cellStyle name="20 % - Accent5 2 2 2" xfId="244" xr:uid="{00000000-0005-0000-0000-000061000000}"/>
    <cellStyle name="20 % - Accent5 2 3" xfId="245" xr:uid="{00000000-0005-0000-0000-000062000000}"/>
    <cellStyle name="20 % - Accent5 2 4" xfId="243" xr:uid="{00000000-0005-0000-0000-000063000000}"/>
    <cellStyle name="20 % - Accent5 3" xfId="119" xr:uid="{00000000-0005-0000-0000-000064000000}"/>
    <cellStyle name="20 % - Accent6" xfId="37" builtinId="50" customBuiltin="1"/>
    <cellStyle name="20 % - Accent6 2" xfId="94" xr:uid="{00000000-0005-0000-0000-000066000000}"/>
    <cellStyle name="20 % - Accent6 2 2" xfId="142" xr:uid="{00000000-0005-0000-0000-000067000000}"/>
    <cellStyle name="20 % - Accent6 2 2 2" xfId="247" xr:uid="{00000000-0005-0000-0000-000068000000}"/>
    <cellStyle name="20 % - Accent6 2 3" xfId="248" xr:uid="{00000000-0005-0000-0000-000069000000}"/>
    <cellStyle name="20 % - Accent6 2 4" xfId="246" xr:uid="{00000000-0005-0000-0000-00006A000000}"/>
    <cellStyle name="20 % - Accent6 3" xfId="121" xr:uid="{00000000-0005-0000-0000-00006B000000}"/>
    <cellStyle name="20% - Accent1" xfId="249" xr:uid="{00000000-0005-0000-0000-00006C000000}"/>
    <cellStyle name="20% - Accent1 2" xfId="250" xr:uid="{00000000-0005-0000-0000-00006D000000}"/>
    <cellStyle name="20% - Accent1 3" xfId="251" xr:uid="{00000000-0005-0000-0000-00006E000000}"/>
    <cellStyle name="20% - Accent1 3 2" xfId="252" xr:uid="{00000000-0005-0000-0000-00006F000000}"/>
    <cellStyle name="20% - Accent1 3 2 2" xfId="253" xr:uid="{00000000-0005-0000-0000-000070000000}"/>
    <cellStyle name="20% - Accent1 3 3" xfId="254" xr:uid="{00000000-0005-0000-0000-000071000000}"/>
    <cellStyle name="20% - Accent1 3 3 2" xfId="255" xr:uid="{00000000-0005-0000-0000-000072000000}"/>
    <cellStyle name="20% - Accent1 3 4" xfId="256" xr:uid="{00000000-0005-0000-0000-000073000000}"/>
    <cellStyle name="20% - Accent2" xfId="257" xr:uid="{00000000-0005-0000-0000-000074000000}"/>
    <cellStyle name="20% - Accent2 2" xfId="258" xr:uid="{00000000-0005-0000-0000-000075000000}"/>
    <cellStyle name="20% - Accent2 3" xfId="259" xr:uid="{00000000-0005-0000-0000-000076000000}"/>
    <cellStyle name="20% - Accent2 3 2" xfId="260" xr:uid="{00000000-0005-0000-0000-000077000000}"/>
    <cellStyle name="20% - Accent2 3 2 2" xfId="261" xr:uid="{00000000-0005-0000-0000-000078000000}"/>
    <cellStyle name="20% - Accent2 3 3" xfId="262" xr:uid="{00000000-0005-0000-0000-000079000000}"/>
    <cellStyle name="20% - Accent2 3 3 2" xfId="263" xr:uid="{00000000-0005-0000-0000-00007A000000}"/>
    <cellStyle name="20% - Accent2 3 4" xfId="264" xr:uid="{00000000-0005-0000-0000-00007B000000}"/>
    <cellStyle name="20% - Accent3" xfId="265" xr:uid="{00000000-0005-0000-0000-00007C000000}"/>
    <cellStyle name="20% - Accent3 2" xfId="266" xr:uid="{00000000-0005-0000-0000-00007D000000}"/>
    <cellStyle name="20% - Accent3 3" xfId="267" xr:uid="{00000000-0005-0000-0000-00007E000000}"/>
    <cellStyle name="20% - Accent3 3 2" xfId="268" xr:uid="{00000000-0005-0000-0000-00007F000000}"/>
    <cellStyle name="20% - Accent3 3 2 2" xfId="269" xr:uid="{00000000-0005-0000-0000-000080000000}"/>
    <cellStyle name="20% - Accent3 3 3" xfId="270" xr:uid="{00000000-0005-0000-0000-000081000000}"/>
    <cellStyle name="20% - Accent3 3 3 2" xfId="271" xr:uid="{00000000-0005-0000-0000-000082000000}"/>
    <cellStyle name="20% - Accent3 3 4" xfId="272" xr:uid="{00000000-0005-0000-0000-000083000000}"/>
    <cellStyle name="20% - Accent4" xfId="273" xr:uid="{00000000-0005-0000-0000-000084000000}"/>
    <cellStyle name="20% - Accent4 2" xfId="274" xr:uid="{00000000-0005-0000-0000-000085000000}"/>
    <cellStyle name="20% - Accent4 3" xfId="275" xr:uid="{00000000-0005-0000-0000-000086000000}"/>
    <cellStyle name="20% - Accent4 3 2" xfId="276" xr:uid="{00000000-0005-0000-0000-000087000000}"/>
    <cellStyle name="20% - Accent4 3 2 2" xfId="277" xr:uid="{00000000-0005-0000-0000-000088000000}"/>
    <cellStyle name="20% - Accent4 3 3" xfId="278" xr:uid="{00000000-0005-0000-0000-000089000000}"/>
    <cellStyle name="20% - Accent4 3 3 2" xfId="279" xr:uid="{00000000-0005-0000-0000-00008A000000}"/>
    <cellStyle name="20% - Accent4 3 4" xfId="280" xr:uid="{00000000-0005-0000-0000-00008B000000}"/>
    <cellStyle name="20% - Accent5" xfId="281" xr:uid="{00000000-0005-0000-0000-00008C000000}"/>
    <cellStyle name="20% - Accent5 2" xfId="282" xr:uid="{00000000-0005-0000-0000-00008D000000}"/>
    <cellStyle name="20% - Accent5 3" xfId="283" xr:uid="{00000000-0005-0000-0000-00008E000000}"/>
    <cellStyle name="20% - Accent5 3 2" xfId="284" xr:uid="{00000000-0005-0000-0000-00008F000000}"/>
    <cellStyle name="20% - Accent5 3 2 2" xfId="285" xr:uid="{00000000-0005-0000-0000-000090000000}"/>
    <cellStyle name="20% - Accent5 3 3" xfId="286" xr:uid="{00000000-0005-0000-0000-000091000000}"/>
    <cellStyle name="20% - Accent5 3 3 2" xfId="287" xr:uid="{00000000-0005-0000-0000-000092000000}"/>
    <cellStyle name="20% - Accent5 3 4" xfId="288" xr:uid="{00000000-0005-0000-0000-000093000000}"/>
    <cellStyle name="20% - Accent6" xfId="289" xr:uid="{00000000-0005-0000-0000-000094000000}"/>
    <cellStyle name="20% - Accent6 2" xfId="290" xr:uid="{00000000-0005-0000-0000-000095000000}"/>
    <cellStyle name="20% - Accent6 3" xfId="291" xr:uid="{00000000-0005-0000-0000-000096000000}"/>
    <cellStyle name="20% - Accent6 3 2" xfId="292" xr:uid="{00000000-0005-0000-0000-000097000000}"/>
    <cellStyle name="20% - Accent6 3 2 2" xfId="293" xr:uid="{00000000-0005-0000-0000-000098000000}"/>
    <cellStyle name="20% - Accent6 3 3" xfId="294" xr:uid="{00000000-0005-0000-0000-000099000000}"/>
    <cellStyle name="20% - Accent6 3 3 2" xfId="295" xr:uid="{00000000-0005-0000-0000-00009A000000}"/>
    <cellStyle name="20% - Accent6 3 4" xfId="296" xr:uid="{00000000-0005-0000-0000-00009B000000}"/>
    <cellStyle name="20% - Colore 1" xfId="297" xr:uid="{00000000-0005-0000-0000-00009C000000}"/>
    <cellStyle name="20% - Colore 1 2" xfId="298" xr:uid="{00000000-0005-0000-0000-00009D000000}"/>
    <cellStyle name="20% - Colore 1 3" xfId="299" xr:uid="{00000000-0005-0000-0000-00009E000000}"/>
    <cellStyle name="20% - Colore 1 3 2" xfId="300" xr:uid="{00000000-0005-0000-0000-00009F000000}"/>
    <cellStyle name="20% - Colore 1 3 2 2" xfId="301" xr:uid="{00000000-0005-0000-0000-0000A0000000}"/>
    <cellStyle name="20% - Colore 1 3 3" xfId="302" xr:uid="{00000000-0005-0000-0000-0000A1000000}"/>
    <cellStyle name="20% - Colore 1 3 3 2" xfId="303" xr:uid="{00000000-0005-0000-0000-0000A2000000}"/>
    <cellStyle name="20% - Colore 1 3 4" xfId="304" xr:uid="{00000000-0005-0000-0000-0000A3000000}"/>
    <cellStyle name="20% - Colore 2" xfId="305" xr:uid="{00000000-0005-0000-0000-0000A4000000}"/>
    <cellStyle name="20% - Colore 2 2" xfId="306" xr:uid="{00000000-0005-0000-0000-0000A5000000}"/>
    <cellStyle name="20% - Colore 2 3" xfId="307" xr:uid="{00000000-0005-0000-0000-0000A6000000}"/>
    <cellStyle name="20% - Colore 2 3 2" xfId="308" xr:uid="{00000000-0005-0000-0000-0000A7000000}"/>
    <cellStyle name="20% - Colore 2 3 2 2" xfId="309" xr:uid="{00000000-0005-0000-0000-0000A8000000}"/>
    <cellStyle name="20% - Colore 2 3 3" xfId="310" xr:uid="{00000000-0005-0000-0000-0000A9000000}"/>
    <cellStyle name="20% - Colore 2 3 3 2" xfId="311" xr:uid="{00000000-0005-0000-0000-0000AA000000}"/>
    <cellStyle name="20% - Colore 2 3 4" xfId="312" xr:uid="{00000000-0005-0000-0000-0000AB000000}"/>
    <cellStyle name="20% - Colore 3" xfId="313" xr:uid="{00000000-0005-0000-0000-0000AC000000}"/>
    <cellStyle name="20% - Colore 3 2" xfId="314" xr:uid="{00000000-0005-0000-0000-0000AD000000}"/>
    <cellStyle name="20% - Colore 3 3" xfId="315" xr:uid="{00000000-0005-0000-0000-0000AE000000}"/>
    <cellStyle name="20% - Colore 3 3 2" xfId="316" xr:uid="{00000000-0005-0000-0000-0000AF000000}"/>
    <cellStyle name="20% - Colore 3 3 2 2" xfId="317" xr:uid="{00000000-0005-0000-0000-0000B0000000}"/>
    <cellStyle name="20% - Colore 3 3 3" xfId="318" xr:uid="{00000000-0005-0000-0000-0000B1000000}"/>
    <cellStyle name="20% - Colore 3 3 3 2" xfId="319" xr:uid="{00000000-0005-0000-0000-0000B2000000}"/>
    <cellStyle name="20% - Colore 3 3 4" xfId="320" xr:uid="{00000000-0005-0000-0000-0000B3000000}"/>
    <cellStyle name="20% - Colore 4" xfId="321" xr:uid="{00000000-0005-0000-0000-0000B4000000}"/>
    <cellStyle name="20% - Colore 4 2" xfId="322" xr:uid="{00000000-0005-0000-0000-0000B5000000}"/>
    <cellStyle name="20% - Colore 4 3" xfId="323" xr:uid="{00000000-0005-0000-0000-0000B6000000}"/>
    <cellStyle name="20% - Colore 4 3 2" xfId="324" xr:uid="{00000000-0005-0000-0000-0000B7000000}"/>
    <cellStyle name="20% - Colore 4 3 2 2" xfId="325" xr:uid="{00000000-0005-0000-0000-0000B8000000}"/>
    <cellStyle name="20% - Colore 4 3 3" xfId="326" xr:uid="{00000000-0005-0000-0000-0000B9000000}"/>
    <cellStyle name="20% - Colore 4 3 3 2" xfId="327" xr:uid="{00000000-0005-0000-0000-0000BA000000}"/>
    <cellStyle name="20% - Colore 4 3 4" xfId="328" xr:uid="{00000000-0005-0000-0000-0000BB000000}"/>
    <cellStyle name="20% - Colore 5" xfId="329" xr:uid="{00000000-0005-0000-0000-0000BC000000}"/>
    <cellStyle name="20% - Colore 5 2" xfId="330" xr:uid="{00000000-0005-0000-0000-0000BD000000}"/>
    <cellStyle name="20% - Colore 5 3" xfId="331" xr:uid="{00000000-0005-0000-0000-0000BE000000}"/>
    <cellStyle name="20% - Colore 5 3 2" xfId="332" xr:uid="{00000000-0005-0000-0000-0000BF000000}"/>
    <cellStyle name="20% - Colore 5 3 2 2" xfId="333" xr:uid="{00000000-0005-0000-0000-0000C0000000}"/>
    <cellStyle name="20% - Colore 5 3 3" xfId="334" xr:uid="{00000000-0005-0000-0000-0000C1000000}"/>
    <cellStyle name="20% - Colore 5 3 3 2" xfId="335" xr:uid="{00000000-0005-0000-0000-0000C2000000}"/>
    <cellStyle name="20% - Colore 5 3 4" xfId="336" xr:uid="{00000000-0005-0000-0000-0000C3000000}"/>
    <cellStyle name="20% - Colore 6" xfId="337" xr:uid="{00000000-0005-0000-0000-0000C4000000}"/>
    <cellStyle name="20% - Colore 6 2" xfId="338" xr:uid="{00000000-0005-0000-0000-0000C5000000}"/>
    <cellStyle name="20% - Colore 6 3" xfId="339" xr:uid="{00000000-0005-0000-0000-0000C6000000}"/>
    <cellStyle name="20% - Colore 6 3 2" xfId="340" xr:uid="{00000000-0005-0000-0000-0000C7000000}"/>
    <cellStyle name="20% - Colore 6 3 2 2" xfId="341" xr:uid="{00000000-0005-0000-0000-0000C8000000}"/>
    <cellStyle name="20% - Colore 6 3 3" xfId="342" xr:uid="{00000000-0005-0000-0000-0000C9000000}"/>
    <cellStyle name="20% - Colore 6 3 3 2" xfId="343" xr:uid="{00000000-0005-0000-0000-0000CA000000}"/>
    <cellStyle name="20% - Colore 6 3 4" xfId="344" xr:uid="{00000000-0005-0000-0000-0000CB000000}"/>
    <cellStyle name="20% - Énfasis1" xfId="345" xr:uid="{00000000-0005-0000-0000-0000CC000000}"/>
    <cellStyle name="20% - Énfasis1 2" xfId="346" xr:uid="{00000000-0005-0000-0000-0000CD000000}"/>
    <cellStyle name="20% - Énfasis1 3" xfId="347" xr:uid="{00000000-0005-0000-0000-0000CE000000}"/>
    <cellStyle name="20% - Énfasis1 3 2" xfId="348" xr:uid="{00000000-0005-0000-0000-0000CF000000}"/>
    <cellStyle name="20% - Énfasis1 3 2 2" xfId="349" xr:uid="{00000000-0005-0000-0000-0000D0000000}"/>
    <cellStyle name="20% - Énfasis1 3 3" xfId="350" xr:uid="{00000000-0005-0000-0000-0000D1000000}"/>
    <cellStyle name="20% - Énfasis1 3 3 2" xfId="351" xr:uid="{00000000-0005-0000-0000-0000D2000000}"/>
    <cellStyle name="20% - Énfasis1 3 4" xfId="352" xr:uid="{00000000-0005-0000-0000-0000D3000000}"/>
    <cellStyle name="20% - Énfasis2" xfId="353" xr:uid="{00000000-0005-0000-0000-0000D4000000}"/>
    <cellStyle name="20% - Énfasis2 2" xfId="354" xr:uid="{00000000-0005-0000-0000-0000D5000000}"/>
    <cellStyle name="20% - Énfasis2 3" xfId="355" xr:uid="{00000000-0005-0000-0000-0000D6000000}"/>
    <cellStyle name="20% - Énfasis2 3 2" xfId="356" xr:uid="{00000000-0005-0000-0000-0000D7000000}"/>
    <cellStyle name="20% - Énfasis2 3 2 2" xfId="357" xr:uid="{00000000-0005-0000-0000-0000D8000000}"/>
    <cellStyle name="20% - Énfasis2 3 3" xfId="358" xr:uid="{00000000-0005-0000-0000-0000D9000000}"/>
    <cellStyle name="20% - Énfasis2 3 3 2" xfId="359" xr:uid="{00000000-0005-0000-0000-0000DA000000}"/>
    <cellStyle name="20% - Énfasis2 3 4" xfId="360" xr:uid="{00000000-0005-0000-0000-0000DB000000}"/>
    <cellStyle name="20% - Énfasis3" xfId="361" xr:uid="{00000000-0005-0000-0000-0000DC000000}"/>
    <cellStyle name="20% - Énfasis3 2" xfId="362" xr:uid="{00000000-0005-0000-0000-0000DD000000}"/>
    <cellStyle name="20% - Énfasis3 3" xfId="363" xr:uid="{00000000-0005-0000-0000-0000DE000000}"/>
    <cellStyle name="20% - Énfasis3 3 2" xfId="364" xr:uid="{00000000-0005-0000-0000-0000DF000000}"/>
    <cellStyle name="20% - Énfasis3 3 2 2" xfId="365" xr:uid="{00000000-0005-0000-0000-0000E0000000}"/>
    <cellStyle name="20% - Énfasis3 3 3" xfId="366" xr:uid="{00000000-0005-0000-0000-0000E1000000}"/>
    <cellStyle name="20% - Énfasis3 3 3 2" xfId="367" xr:uid="{00000000-0005-0000-0000-0000E2000000}"/>
    <cellStyle name="20% - Énfasis3 3 4" xfId="368" xr:uid="{00000000-0005-0000-0000-0000E3000000}"/>
    <cellStyle name="20% - Énfasis4" xfId="369" xr:uid="{00000000-0005-0000-0000-0000E4000000}"/>
    <cellStyle name="20% - Énfasis4 2" xfId="370" xr:uid="{00000000-0005-0000-0000-0000E5000000}"/>
    <cellStyle name="20% - Énfasis4 3" xfId="371" xr:uid="{00000000-0005-0000-0000-0000E6000000}"/>
    <cellStyle name="20% - Énfasis4 3 2" xfId="372" xr:uid="{00000000-0005-0000-0000-0000E7000000}"/>
    <cellStyle name="20% - Énfasis4 3 2 2" xfId="373" xr:uid="{00000000-0005-0000-0000-0000E8000000}"/>
    <cellStyle name="20% - Énfasis4 3 3" xfId="374" xr:uid="{00000000-0005-0000-0000-0000E9000000}"/>
    <cellStyle name="20% - Énfasis4 3 3 2" xfId="375" xr:uid="{00000000-0005-0000-0000-0000EA000000}"/>
    <cellStyle name="20% - Énfasis4 3 4" xfId="376" xr:uid="{00000000-0005-0000-0000-0000EB000000}"/>
    <cellStyle name="20% - Énfasis5" xfId="377" xr:uid="{00000000-0005-0000-0000-0000EC000000}"/>
    <cellStyle name="20% - Énfasis5 2" xfId="378" xr:uid="{00000000-0005-0000-0000-0000ED000000}"/>
    <cellStyle name="20% - Énfasis5 3" xfId="379" xr:uid="{00000000-0005-0000-0000-0000EE000000}"/>
    <cellStyle name="20% - Énfasis5 3 2" xfId="380" xr:uid="{00000000-0005-0000-0000-0000EF000000}"/>
    <cellStyle name="20% - Énfasis5 3 2 2" xfId="381" xr:uid="{00000000-0005-0000-0000-0000F0000000}"/>
    <cellStyle name="20% - Énfasis5 3 3" xfId="382" xr:uid="{00000000-0005-0000-0000-0000F1000000}"/>
    <cellStyle name="20% - Énfasis5 3 3 2" xfId="383" xr:uid="{00000000-0005-0000-0000-0000F2000000}"/>
    <cellStyle name="20% - Énfasis5 3 4" xfId="384" xr:uid="{00000000-0005-0000-0000-0000F3000000}"/>
    <cellStyle name="20% - Énfasis6" xfId="385" xr:uid="{00000000-0005-0000-0000-0000F4000000}"/>
    <cellStyle name="20% - Énfasis6 2" xfId="386" xr:uid="{00000000-0005-0000-0000-0000F5000000}"/>
    <cellStyle name="20% - Énfasis6 3" xfId="387" xr:uid="{00000000-0005-0000-0000-0000F6000000}"/>
    <cellStyle name="20% - Énfasis6 3 2" xfId="388" xr:uid="{00000000-0005-0000-0000-0000F7000000}"/>
    <cellStyle name="20% - Énfasis6 3 2 2" xfId="389" xr:uid="{00000000-0005-0000-0000-0000F8000000}"/>
    <cellStyle name="20% - Énfasis6 3 3" xfId="390" xr:uid="{00000000-0005-0000-0000-0000F9000000}"/>
    <cellStyle name="20% - Énfasis6 3 3 2" xfId="391" xr:uid="{00000000-0005-0000-0000-0000FA000000}"/>
    <cellStyle name="20% - Énfasis6 3 4" xfId="392" xr:uid="{00000000-0005-0000-0000-0000FB000000}"/>
    <cellStyle name="40 % - Accent1" xfId="393" xr:uid="{00000000-0005-0000-0000-0000FC000000}"/>
    <cellStyle name="40 % - Accent1 2" xfId="394" xr:uid="{00000000-0005-0000-0000-0000FD000000}"/>
    <cellStyle name="40 % - Accent1 2 2" xfId="395" xr:uid="{00000000-0005-0000-0000-0000FE000000}"/>
    <cellStyle name="40 % - Accent1 3" xfId="396" xr:uid="{00000000-0005-0000-0000-0000FF000000}"/>
    <cellStyle name="40 % - Accent2" xfId="397" xr:uid="{00000000-0005-0000-0000-000000010000}"/>
    <cellStyle name="40 % - Accent2 2" xfId="398" xr:uid="{00000000-0005-0000-0000-000001010000}"/>
    <cellStyle name="40 % - Accent2 2 2" xfId="399" xr:uid="{00000000-0005-0000-0000-000002010000}"/>
    <cellStyle name="40 % - Accent2 3" xfId="400" xr:uid="{00000000-0005-0000-0000-000003010000}"/>
    <cellStyle name="40 % - Accent3" xfId="401" xr:uid="{00000000-0005-0000-0000-000004010000}"/>
    <cellStyle name="40 % - Accent3 2" xfId="402" xr:uid="{00000000-0005-0000-0000-000005010000}"/>
    <cellStyle name="40 % - Accent3 2 2" xfId="403" xr:uid="{00000000-0005-0000-0000-000006010000}"/>
    <cellStyle name="40 % - Accent3 3" xfId="404" xr:uid="{00000000-0005-0000-0000-000007010000}"/>
    <cellStyle name="40 % - Accent4" xfId="405" xr:uid="{00000000-0005-0000-0000-000008010000}"/>
    <cellStyle name="40 % - Accent4 2" xfId="406" xr:uid="{00000000-0005-0000-0000-000009010000}"/>
    <cellStyle name="40 % - Accent4 2 2" xfId="407" xr:uid="{00000000-0005-0000-0000-00000A010000}"/>
    <cellStyle name="40 % - Accent4 3" xfId="408" xr:uid="{00000000-0005-0000-0000-00000B010000}"/>
    <cellStyle name="40 % - Accent5" xfId="409" xr:uid="{00000000-0005-0000-0000-00000C010000}"/>
    <cellStyle name="40 % - Accent5 2" xfId="410" xr:uid="{00000000-0005-0000-0000-00000D010000}"/>
    <cellStyle name="40 % - Accent5 2 2" xfId="411" xr:uid="{00000000-0005-0000-0000-00000E010000}"/>
    <cellStyle name="40 % - Accent5 3" xfId="412" xr:uid="{00000000-0005-0000-0000-00000F010000}"/>
    <cellStyle name="40 % - Accent6" xfId="413" xr:uid="{00000000-0005-0000-0000-000010010000}"/>
    <cellStyle name="40 % - Accent6 2" xfId="414" xr:uid="{00000000-0005-0000-0000-000011010000}"/>
    <cellStyle name="40 % - Accent6 2 2" xfId="415" xr:uid="{00000000-0005-0000-0000-000012010000}"/>
    <cellStyle name="40 % - Accent6 3" xfId="416" xr:uid="{00000000-0005-0000-0000-000013010000}"/>
    <cellStyle name="40 % - Accent1" xfId="18" builtinId="31" customBuiltin="1"/>
    <cellStyle name="40 % - Accent1 2" xfId="85" xr:uid="{00000000-0005-0000-0000-000015010000}"/>
    <cellStyle name="40 % - Accent1 2 2" xfId="133" xr:uid="{00000000-0005-0000-0000-000016010000}"/>
    <cellStyle name="40 % - Accent1 2 2 2" xfId="418" xr:uid="{00000000-0005-0000-0000-000017010000}"/>
    <cellStyle name="40 % - Accent1 2 3" xfId="419" xr:uid="{00000000-0005-0000-0000-000018010000}"/>
    <cellStyle name="40 % - Accent1 2 4" xfId="417" xr:uid="{00000000-0005-0000-0000-000019010000}"/>
    <cellStyle name="40 % - Accent1 3" xfId="112" xr:uid="{00000000-0005-0000-0000-00001A010000}"/>
    <cellStyle name="40 % - Accent2" xfId="22" builtinId="35" customBuiltin="1"/>
    <cellStyle name="40 % - Accent2 2" xfId="87" xr:uid="{00000000-0005-0000-0000-00001C010000}"/>
    <cellStyle name="40 % - Accent2 2 2" xfId="135" xr:uid="{00000000-0005-0000-0000-00001D010000}"/>
    <cellStyle name="40 % - Accent2 2 2 2" xfId="421" xr:uid="{00000000-0005-0000-0000-00001E010000}"/>
    <cellStyle name="40 % - Accent2 2 3" xfId="422" xr:uid="{00000000-0005-0000-0000-00001F010000}"/>
    <cellStyle name="40 % - Accent2 2 4" xfId="420" xr:uid="{00000000-0005-0000-0000-000020010000}"/>
    <cellStyle name="40 % - Accent2 3" xfId="114" xr:uid="{00000000-0005-0000-0000-000021010000}"/>
    <cellStyle name="40 % - Accent3" xfId="26" builtinId="39" customBuiltin="1"/>
    <cellStyle name="40 % - Accent3 2" xfId="89" xr:uid="{00000000-0005-0000-0000-000023010000}"/>
    <cellStyle name="40 % - Accent3 2 2" xfId="137" xr:uid="{00000000-0005-0000-0000-000024010000}"/>
    <cellStyle name="40 % - Accent3 2 2 2" xfId="424" xr:uid="{00000000-0005-0000-0000-000025010000}"/>
    <cellStyle name="40 % - Accent3 2 3" xfId="425" xr:uid="{00000000-0005-0000-0000-000026010000}"/>
    <cellStyle name="40 % - Accent3 2 4" xfId="423" xr:uid="{00000000-0005-0000-0000-000027010000}"/>
    <cellStyle name="40 % - Accent3 3" xfId="116" xr:uid="{00000000-0005-0000-0000-000028010000}"/>
    <cellStyle name="40 % - Accent4" xfId="30" builtinId="43" customBuiltin="1"/>
    <cellStyle name="40 % - Accent4 2" xfId="91" xr:uid="{00000000-0005-0000-0000-00002A010000}"/>
    <cellStyle name="40 % - Accent4 2 2" xfId="139" xr:uid="{00000000-0005-0000-0000-00002B010000}"/>
    <cellStyle name="40 % - Accent4 2 2 2" xfId="427" xr:uid="{00000000-0005-0000-0000-00002C010000}"/>
    <cellStyle name="40 % - Accent4 2 3" xfId="428" xr:uid="{00000000-0005-0000-0000-00002D010000}"/>
    <cellStyle name="40 % - Accent4 2 4" xfId="426" xr:uid="{00000000-0005-0000-0000-00002E010000}"/>
    <cellStyle name="40 % - Accent4 3" xfId="118" xr:uid="{00000000-0005-0000-0000-00002F010000}"/>
    <cellStyle name="40 % - Accent5" xfId="34" builtinId="47" customBuiltin="1"/>
    <cellStyle name="40 % - Accent5 2" xfId="93" xr:uid="{00000000-0005-0000-0000-000031010000}"/>
    <cellStyle name="40 % - Accent5 2 2" xfId="141" xr:uid="{00000000-0005-0000-0000-000032010000}"/>
    <cellStyle name="40 % - Accent5 2 2 2" xfId="430" xr:uid="{00000000-0005-0000-0000-000033010000}"/>
    <cellStyle name="40 % - Accent5 2 3" xfId="431" xr:uid="{00000000-0005-0000-0000-000034010000}"/>
    <cellStyle name="40 % - Accent5 2 4" xfId="429" xr:uid="{00000000-0005-0000-0000-000035010000}"/>
    <cellStyle name="40 % - Accent5 3" xfId="120" xr:uid="{00000000-0005-0000-0000-000036010000}"/>
    <cellStyle name="40 % - Accent6" xfId="38" builtinId="51" customBuiltin="1"/>
    <cellStyle name="40 % - Accent6 2" xfId="95" xr:uid="{00000000-0005-0000-0000-000038010000}"/>
    <cellStyle name="40 % - Accent6 2 2" xfId="143" xr:uid="{00000000-0005-0000-0000-000039010000}"/>
    <cellStyle name="40 % - Accent6 2 2 2" xfId="433" xr:uid="{00000000-0005-0000-0000-00003A010000}"/>
    <cellStyle name="40 % - Accent6 2 3" xfId="434" xr:uid="{00000000-0005-0000-0000-00003B010000}"/>
    <cellStyle name="40 % - Accent6 2 4" xfId="432" xr:uid="{00000000-0005-0000-0000-00003C010000}"/>
    <cellStyle name="40 % - Accent6 3" xfId="122" xr:uid="{00000000-0005-0000-0000-00003D010000}"/>
    <cellStyle name="40% - Accent1" xfId="435" xr:uid="{00000000-0005-0000-0000-00003E010000}"/>
    <cellStyle name="40% - Accent1 2" xfId="436" xr:uid="{00000000-0005-0000-0000-00003F010000}"/>
    <cellStyle name="40% - Accent1 3" xfId="437" xr:uid="{00000000-0005-0000-0000-000040010000}"/>
    <cellStyle name="40% - Accent1 3 2" xfId="438" xr:uid="{00000000-0005-0000-0000-000041010000}"/>
    <cellStyle name="40% - Accent1 3 2 2" xfId="439" xr:uid="{00000000-0005-0000-0000-000042010000}"/>
    <cellStyle name="40% - Accent1 3 3" xfId="440" xr:uid="{00000000-0005-0000-0000-000043010000}"/>
    <cellStyle name="40% - Accent1 3 3 2" xfId="441" xr:uid="{00000000-0005-0000-0000-000044010000}"/>
    <cellStyle name="40% - Accent1 3 4" xfId="442" xr:uid="{00000000-0005-0000-0000-000045010000}"/>
    <cellStyle name="40% - Accent2" xfId="443" xr:uid="{00000000-0005-0000-0000-000046010000}"/>
    <cellStyle name="40% - Accent2 2" xfId="444" xr:uid="{00000000-0005-0000-0000-000047010000}"/>
    <cellStyle name="40% - Accent2 3" xfId="445" xr:uid="{00000000-0005-0000-0000-000048010000}"/>
    <cellStyle name="40% - Accent2 3 2" xfId="446" xr:uid="{00000000-0005-0000-0000-000049010000}"/>
    <cellStyle name="40% - Accent2 3 2 2" xfId="447" xr:uid="{00000000-0005-0000-0000-00004A010000}"/>
    <cellStyle name="40% - Accent2 3 3" xfId="448" xr:uid="{00000000-0005-0000-0000-00004B010000}"/>
    <cellStyle name="40% - Accent2 3 3 2" xfId="449" xr:uid="{00000000-0005-0000-0000-00004C010000}"/>
    <cellStyle name="40% - Accent2 3 4" xfId="450" xr:uid="{00000000-0005-0000-0000-00004D010000}"/>
    <cellStyle name="40% - Accent3" xfId="451" xr:uid="{00000000-0005-0000-0000-00004E010000}"/>
    <cellStyle name="40% - Accent3 2" xfId="452" xr:uid="{00000000-0005-0000-0000-00004F010000}"/>
    <cellStyle name="40% - Accent3 3" xfId="453" xr:uid="{00000000-0005-0000-0000-000050010000}"/>
    <cellStyle name="40% - Accent3 3 2" xfId="454" xr:uid="{00000000-0005-0000-0000-000051010000}"/>
    <cellStyle name="40% - Accent3 3 2 2" xfId="455" xr:uid="{00000000-0005-0000-0000-000052010000}"/>
    <cellStyle name="40% - Accent3 3 3" xfId="456" xr:uid="{00000000-0005-0000-0000-000053010000}"/>
    <cellStyle name="40% - Accent3 3 3 2" xfId="457" xr:uid="{00000000-0005-0000-0000-000054010000}"/>
    <cellStyle name="40% - Accent3 3 4" xfId="458" xr:uid="{00000000-0005-0000-0000-000055010000}"/>
    <cellStyle name="40% - Accent4" xfId="459" xr:uid="{00000000-0005-0000-0000-000056010000}"/>
    <cellStyle name="40% - Accent4 2" xfId="460" xr:uid="{00000000-0005-0000-0000-000057010000}"/>
    <cellStyle name="40% - Accent4 3" xfId="461" xr:uid="{00000000-0005-0000-0000-000058010000}"/>
    <cellStyle name="40% - Accent4 3 2" xfId="462" xr:uid="{00000000-0005-0000-0000-000059010000}"/>
    <cellStyle name="40% - Accent4 3 2 2" xfId="463" xr:uid="{00000000-0005-0000-0000-00005A010000}"/>
    <cellStyle name="40% - Accent4 3 3" xfId="464" xr:uid="{00000000-0005-0000-0000-00005B010000}"/>
    <cellStyle name="40% - Accent4 3 3 2" xfId="465" xr:uid="{00000000-0005-0000-0000-00005C010000}"/>
    <cellStyle name="40% - Accent4 3 4" xfId="466" xr:uid="{00000000-0005-0000-0000-00005D010000}"/>
    <cellStyle name="40% - Accent5" xfId="467" xr:uid="{00000000-0005-0000-0000-00005E010000}"/>
    <cellStyle name="40% - Accent5 2" xfId="468" xr:uid="{00000000-0005-0000-0000-00005F010000}"/>
    <cellStyle name="40% - Accent5 3" xfId="469" xr:uid="{00000000-0005-0000-0000-000060010000}"/>
    <cellStyle name="40% - Accent5 3 2" xfId="470" xr:uid="{00000000-0005-0000-0000-000061010000}"/>
    <cellStyle name="40% - Accent5 3 2 2" xfId="471" xr:uid="{00000000-0005-0000-0000-000062010000}"/>
    <cellStyle name="40% - Accent5 3 3" xfId="472" xr:uid="{00000000-0005-0000-0000-000063010000}"/>
    <cellStyle name="40% - Accent5 3 3 2" xfId="473" xr:uid="{00000000-0005-0000-0000-000064010000}"/>
    <cellStyle name="40% - Accent5 3 4" xfId="474" xr:uid="{00000000-0005-0000-0000-000065010000}"/>
    <cellStyle name="40% - Accent6" xfId="475" xr:uid="{00000000-0005-0000-0000-000066010000}"/>
    <cellStyle name="40% - Accent6 2" xfId="476" xr:uid="{00000000-0005-0000-0000-000067010000}"/>
    <cellStyle name="40% - Accent6 3" xfId="477" xr:uid="{00000000-0005-0000-0000-000068010000}"/>
    <cellStyle name="40% - Accent6 3 2" xfId="478" xr:uid="{00000000-0005-0000-0000-000069010000}"/>
    <cellStyle name="40% - Accent6 3 2 2" xfId="479" xr:uid="{00000000-0005-0000-0000-00006A010000}"/>
    <cellStyle name="40% - Accent6 3 3" xfId="480" xr:uid="{00000000-0005-0000-0000-00006B010000}"/>
    <cellStyle name="40% - Accent6 3 3 2" xfId="481" xr:uid="{00000000-0005-0000-0000-00006C010000}"/>
    <cellStyle name="40% - Accent6 3 4" xfId="482" xr:uid="{00000000-0005-0000-0000-00006D010000}"/>
    <cellStyle name="40% - Colore 1" xfId="483" xr:uid="{00000000-0005-0000-0000-00006E010000}"/>
    <cellStyle name="40% - Colore 1 2" xfId="484" xr:uid="{00000000-0005-0000-0000-00006F010000}"/>
    <cellStyle name="40% - Colore 1 3" xfId="485" xr:uid="{00000000-0005-0000-0000-000070010000}"/>
    <cellStyle name="40% - Colore 1 3 2" xfId="486" xr:uid="{00000000-0005-0000-0000-000071010000}"/>
    <cellStyle name="40% - Colore 1 3 2 2" xfId="487" xr:uid="{00000000-0005-0000-0000-000072010000}"/>
    <cellStyle name="40% - Colore 1 3 3" xfId="488" xr:uid="{00000000-0005-0000-0000-000073010000}"/>
    <cellStyle name="40% - Colore 1 3 3 2" xfId="489" xr:uid="{00000000-0005-0000-0000-000074010000}"/>
    <cellStyle name="40% - Colore 1 3 4" xfId="490" xr:uid="{00000000-0005-0000-0000-000075010000}"/>
    <cellStyle name="40% - Colore 2" xfId="491" xr:uid="{00000000-0005-0000-0000-000076010000}"/>
    <cellStyle name="40% - Colore 2 2" xfId="492" xr:uid="{00000000-0005-0000-0000-000077010000}"/>
    <cellStyle name="40% - Colore 2 3" xfId="493" xr:uid="{00000000-0005-0000-0000-000078010000}"/>
    <cellStyle name="40% - Colore 2 3 2" xfId="494" xr:uid="{00000000-0005-0000-0000-000079010000}"/>
    <cellStyle name="40% - Colore 2 3 2 2" xfId="495" xr:uid="{00000000-0005-0000-0000-00007A010000}"/>
    <cellStyle name="40% - Colore 2 3 3" xfId="496" xr:uid="{00000000-0005-0000-0000-00007B010000}"/>
    <cellStyle name="40% - Colore 2 3 3 2" xfId="497" xr:uid="{00000000-0005-0000-0000-00007C010000}"/>
    <cellStyle name="40% - Colore 2 3 4" xfId="498" xr:uid="{00000000-0005-0000-0000-00007D010000}"/>
    <cellStyle name="40% - Colore 3" xfId="499" xr:uid="{00000000-0005-0000-0000-00007E010000}"/>
    <cellStyle name="40% - Colore 3 2" xfId="500" xr:uid="{00000000-0005-0000-0000-00007F010000}"/>
    <cellStyle name="40% - Colore 3 3" xfId="501" xr:uid="{00000000-0005-0000-0000-000080010000}"/>
    <cellStyle name="40% - Colore 3 3 2" xfId="502" xr:uid="{00000000-0005-0000-0000-000081010000}"/>
    <cellStyle name="40% - Colore 3 3 2 2" xfId="503" xr:uid="{00000000-0005-0000-0000-000082010000}"/>
    <cellStyle name="40% - Colore 3 3 3" xfId="504" xr:uid="{00000000-0005-0000-0000-000083010000}"/>
    <cellStyle name="40% - Colore 3 3 3 2" xfId="505" xr:uid="{00000000-0005-0000-0000-000084010000}"/>
    <cellStyle name="40% - Colore 3 3 4" xfId="506" xr:uid="{00000000-0005-0000-0000-000085010000}"/>
    <cellStyle name="40% - Colore 4" xfId="507" xr:uid="{00000000-0005-0000-0000-000086010000}"/>
    <cellStyle name="40% - Colore 4 2" xfId="508" xr:uid="{00000000-0005-0000-0000-000087010000}"/>
    <cellStyle name="40% - Colore 4 3" xfId="509" xr:uid="{00000000-0005-0000-0000-000088010000}"/>
    <cellStyle name="40% - Colore 4 3 2" xfId="510" xr:uid="{00000000-0005-0000-0000-000089010000}"/>
    <cellStyle name="40% - Colore 4 3 2 2" xfId="511" xr:uid="{00000000-0005-0000-0000-00008A010000}"/>
    <cellStyle name="40% - Colore 4 3 3" xfId="512" xr:uid="{00000000-0005-0000-0000-00008B010000}"/>
    <cellStyle name="40% - Colore 4 3 3 2" xfId="513" xr:uid="{00000000-0005-0000-0000-00008C010000}"/>
    <cellStyle name="40% - Colore 4 3 4" xfId="514" xr:uid="{00000000-0005-0000-0000-00008D010000}"/>
    <cellStyle name="40% - Colore 5" xfId="515" xr:uid="{00000000-0005-0000-0000-00008E010000}"/>
    <cellStyle name="40% - Colore 5 2" xfId="516" xr:uid="{00000000-0005-0000-0000-00008F010000}"/>
    <cellStyle name="40% - Colore 5 3" xfId="517" xr:uid="{00000000-0005-0000-0000-000090010000}"/>
    <cellStyle name="40% - Colore 5 3 2" xfId="518" xr:uid="{00000000-0005-0000-0000-000091010000}"/>
    <cellStyle name="40% - Colore 5 3 2 2" xfId="519" xr:uid="{00000000-0005-0000-0000-000092010000}"/>
    <cellStyle name="40% - Colore 5 3 3" xfId="520" xr:uid="{00000000-0005-0000-0000-000093010000}"/>
    <cellStyle name="40% - Colore 5 3 3 2" xfId="521" xr:uid="{00000000-0005-0000-0000-000094010000}"/>
    <cellStyle name="40% - Colore 5 3 4" xfId="522" xr:uid="{00000000-0005-0000-0000-000095010000}"/>
    <cellStyle name="40% - Colore 6" xfId="523" xr:uid="{00000000-0005-0000-0000-000096010000}"/>
    <cellStyle name="40% - Colore 6 2" xfId="524" xr:uid="{00000000-0005-0000-0000-000097010000}"/>
    <cellStyle name="40% - Colore 6 3" xfId="525" xr:uid="{00000000-0005-0000-0000-000098010000}"/>
    <cellStyle name="40% - Colore 6 3 2" xfId="526" xr:uid="{00000000-0005-0000-0000-000099010000}"/>
    <cellStyle name="40% - Colore 6 3 2 2" xfId="527" xr:uid="{00000000-0005-0000-0000-00009A010000}"/>
    <cellStyle name="40% - Colore 6 3 3" xfId="528" xr:uid="{00000000-0005-0000-0000-00009B010000}"/>
    <cellStyle name="40% - Colore 6 3 3 2" xfId="529" xr:uid="{00000000-0005-0000-0000-00009C010000}"/>
    <cellStyle name="40% - Colore 6 3 4" xfId="530" xr:uid="{00000000-0005-0000-0000-00009D010000}"/>
    <cellStyle name="40% - Énfasis1" xfId="531" xr:uid="{00000000-0005-0000-0000-00009E010000}"/>
    <cellStyle name="40% - Énfasis1 2" xfId="532" xr:uid="{00000000-0005-0000-0000-00009F010000}"/>
    <cellStyle name="40% - Énfasis1 3" xfId="533" xr:uid="{00000000-0005-0000-0000-0000A0010000}"/>
    <cellStyle name="40% - Énfasis1 3 2" xfId="534" xr:uid="{00000000-0005-0000-0000-0000A1010000}"/>
    <cellStyle name="40% - Énfasis1 3 2 2" xfId="535" xr:uid="{00000000-0005-0000-0000-0000A2010000}"/>
    <cellStyle name="40% - Énfasis1 3 3" xfId="536" xr:uid="{00000000-0005-0000-0000-0000A3010000}"/>
    <cellStyle name="40% - Énfasis1 3 3 2" xfId="537" xr:uid="{00000000-0005-0000-0000-0000A4010000}"/>
    <cellStyle name="40% - Énfasis1 3 4" xfId="538" xr:uid="{00000000-0005-0000-0000-0000A5010000}"/>
    <cellStyle name="40% - Énfasis2" xfId="539" xr:uid="{00000000-0005-0000-0000-0000A6010000}"/>
    <cellStyle name="40% - Énfasis2 2" xfId="540" xr:uid="{00000000-0005-0000-0000-0000A7010000}"/>
    <cellStyle name="40% - Énfasis2 3" xfId="541" xr:uid="{00000000-0005-0000-0000-0000A8010000}"/>
    <cellStyle name="40% - Énfasis2 3 2" xfId="542" xr:uid="{00000000-0005-0000-0000-0000A9010000}"/>
    <cellStyle name="40% - Énfasis2 3 2 2" xfId="543" xr:uid="{00000000-0005-0000-0000-0000AA010000}"/>
    <cellStyle name="40% - Énfasis2 3 3" xfId="544" xr:uid="{00000000-0005-0000-0000-0000AB010000}"/>
    <cellStyle name="40% - Énfasis2 3 3 2" xfId="545" xr:uid="{00000000-0005-0000-0000-0000AC010000}"/>
    <cellStyle name="40% - Énfasis2 3 4" xfId="546" xr:uid="{00000000-0005-0000-0000-0000AD010000}"/>
    <cellStyle name="40% - Énfasis3" xfId="547" xr:uid="{00000000-0005-0000-0000-0000AE010000}"/>
    <cellStyle name="40% - Énfasis3 2" xfId="548" xr:uid="{00000000-0005-0000-0000-0000AF010000}"/>
    <cellStyle name="40% - Énfasis3 3" xfId="549" xr:uid="{00000000-0005-0000-0000-0000B0010000}"/>
    <cellStyle name="40% - Énfasis3 3 2" xfId="550" xr:uid="{00000000-0005-0000-0000-0000B1010000}"/>
    <cellStyle name="40% - Énfasis3 3 2 2" xfId="551" xr:uid="{00000000-0005-0000-0000-0000B2010000}"/>
    <cellStyle name="40% - Énfasis3 3 3" xfId="552" xr:uid="{00000000-0005-0000-0000-0000B3010000}"/>
    <cellStyle name="40% - Énfasis3 3 3 2" xfId="553" xr:uid="{00000000-0005-0000-0000-0000B4010000}"/>
    <cellStyle name="40% - Énfasis3 3 4" xfId="554" xr:uid="{00000000-0005-0000-0000-0000B5010000}"/>
    <cellStyle name="40% - Énfasis4" xfId="555" xr:uid="{00000000-0005-0000-0000-0000B6010000}"/>
    <cellStyle name="40% - Énfasis4 2" xfId="556" xr:uid="{00000000-0005-0000-0000-0000B7010000}"/>
    <cellStyle name="40% - Énfasis4 3" xfId="557" xr:uid="{00000000-0005-0000-0000-0000B8010000}"/>
    <cellStyle name="40% - Énfasis4 3 2" xfId="558" xr:uid="{00000000-0005-0000-0000-0000B9010000}"/>
    <cellStyle name="40% - Énfasis4 3 2 2" xfId="559" xr:uid="{00000000-0005-0000-0000-0000BA010000}"/>
    <cellStyle name="40% - Énfasis4 3 3" xfId="560" xr:uid="{00000000-0005-0000-0000-0000BB010000}"/>
    <cellStyle name="40% - Énfasis4 3 3 2" xfId="561" xr:uid="{00000000-0005-0000-0000-0000BC010000}"/>
    <cellStyle name="40% - Énfasis4 3 4" xfId="562" xr:uid="{00000000-0005-0000-0000-0000BD010000}"/>
    <cellStyle name="40% - Énfasis5" xfId="563" xr:uid="{00000000-0005-0000-0000-0000BE010000}"/>
    <cellStyle name="40% - Énfasis5 2" xfId="564" xr:uid="{00000000-0005-0000-0000-0000BF010000}"/>
    <cellStyle name="40% - Énfasis5 3" xfId="565" xr:uid="{00000000-0005-0000-0000-0000C0010000}"/>
    <cellStyle name="40% - Énfasis5 3 2" xfId="566" xr:uid="{00000000-0005-0000-0000-0000C1010000}"/>
    <cellStyle name="40% - Énfasis5 3 2 2" xfId="567" xr:uid="{00000000-0005-0000-0000-0000C2010000}"/>
    <cellStyle name="40% - Énfasis5 3 3" xfId="568" xr:uid="{00000000-0005-0000-0000-0000C3010000}"/>
    <cellStyle name="40% - Énfasis5 3 3 2" xfId="569" xr:uid="{00000000-0005-0000-0000-0000C4010000}"/>
    <cellStyle name="40% - Énfasis5 3 4" xfId="570" xr:uid="{00000000-0005-0000-0000-0000C5010000}"/>
    <cellStyle name="40% - Énfasis6" xfId="571" xr:uid="{00000000-0005-0000-0000-0000C6010000}"/>
    <cellStyle name="40% - Énfasis6 2" xfId="572" xr:uid="{00000000-0005-0000-0000-0000C7010000}"/>
    <cellStyle name="40% - Énfasis6 3" xfId="573" xr:uid="{00000000-0005-0000-0000-0000C8010000}"/>
    <cellStyle name="40% - Énfasis6 3 2" xfId="574" xr:uid="{00000000-0005-0000-0000-0000C9010000}"/>
    <cellStyle name="40% - Énfasis6 3 2 2" xfId="575" xr:uid="{00000000-0005-0000-0000-0000CA010000}"/>
    <cellStyle name="40% - Énfasis6 3 3" xfId="576" xr:uid="{00000000-0005-0000-0000-0000CB010000}"/>
    <cellStyle name="40% - Énfasis6 3 3 2" xfId="577" xr:uid="{00000000-0005-0000-0000-0000CC010000}"/>
    <cellStyle name="40% - Énfasis6 3 4" xfId="578" xr:uid="{00000000-0005-0000-0000-0000CD010000}"/>
    <cellStyle name="5x indented GHG Textfiels" xfId="579" xr:uid="{00000000-0005-0000-0000-0000CE010000}"/>
    <cellStyle name="5x indented GHG Textfiels 2" xfId="580" xr:uid="{00000000-0005-0000-0000-0000CF010000}"/>
    <cellStyle name="5x indented GHG Textfiels 3" xfId="581" xr:uid="{00000000-0005-0000-0000-0000D0010000}"/>
    <cellStyle name="5x indented GHG Textfiels 3 2" xfId="582" xr:uid="{00000000-0005-0000-0000-0000D1010000}"/>
    <cellStyle name="5x indented GHG Textfiels 3 2 2" xfId="583" xr:uid="{00000000-0005-0000-0000-0000D2010000}"/>
    <cellStyle name="5x indented GHG Textfiels 3 3" xfId="584" xr:uid="{00000000-0005-0000-0000-0000D3010000}"/>
    <cellStyle name="5x indented GHG Textfiels 3 3 2" xfId="585" xr:uid="{00000000-0005-0000-0000-0000D4010000}"/>
    <cellStyle name="5x indented GHG Textfiels 3 4" xfId="586" xr:uid="{00000000-0005-0000-0000-0000D5010000}"/>
    <cellStyle name="5x indented GHG Textfiels 4" xfId="587" xr:uid="{00000000-0005-0000-0000-0000D6010000}"/>
    <cellStyle name="60 % - Accent1" xfId="588" xr:uid="{00000000-0005-0000-0000-0000D7010000}"/>
    <cellStyle name="60 % - Accent1 2" xfId="589" xr:uid="{00000000-0005-0000-0000-0000D8010000}"/>
    <cellStyle name="60 % - Accent1 2 2" xfId="590" xr:uid="{00000000-0005-0000-0000-0000D9010000}"/>
    <cellStyle name="60 % - Accent1 3" xfId="591" xr:uid="{00000000-0005-0000-0000-0000DA010000}"/>
    <cellStyle name="60 % - Accent2" xfId="592" xr:uid="{00000000-0005-0000-0000-0000DB010000}"/>
    <cellStyle name="60 % - Accent2 2" xfId="593" xr:uid="{00000000-0005-0000-0000-0000DC010000}"/>
    <cellStyle name="60 % - Accent2 2 2" xfId="594" xr:uid="{00000000-0005-0000-0000-0000DD010000}"/>
    <cellStyle name="60 % - Accent2 3" xfId="595" xr:uid="{00000000-0005-0000-0000-0000DE010000}"/>
    <cellStyle name="60 % - Accent3" xfId="596" xr:uid="{00000000-0005-0000-0000-0000DF010000}"/>
    <cellStyle name="60 % - Accent3 2" xfId="597" xr:uid="{00000000-0005-0000-0000-0000E0010000}"/>
    <cellStyle name="60 % - Accent3 2 2" xfId="598" xr:uid="{00000000-0005-0000-0000-0000E1010000}"/>
    <cellStyle name="60 % - Accent3 3" xfId="599" xr:uid="{00000000-0005-0000-0000-0000E2010000}"/>
    <cellStyle name="60 % - Accent4" xfId="600" xr:uid="{00000000-0005-0000-0000-0000E3010000}"/>
    <cellStyle name="60 % - Accent4 2" xfId="601" xr:uid="{00000000-0005-0000-0000-0000E4010000}"/>
    <cellStyle name="60 % - Accent4 2 2" xfId="602" xr:uid="{00000000-0005-0000-0000-0000E5010000}"/>
    <cellStyle name="60 % - Accent4 3" xfId="603" xr:uid="{00000000-0005-0000-0000-0000E6010000}"/>
    <cellStyle name="60 % - Accent5" xfId="604" xr:uid="{00000000-0005-0000-0000-0000E7010000}"/>
    <cellStyle name="60 % - Accent5 2" xfId="605" xr:uid="{00000000-0005-0000-0000-0000E8010000}"/>
    <cellStyle name="60 % - Accent5 2 2" xfId="606" xr:uid="{00000000-0005-0000-0000-0000E9010000}"/>
    <cellStyle name="60 % - Accent5 3" xfId="607" xr:uid="{00000000-0005-0000-0000-0000EA010000}"/>
    <cellStyle name="60 % - Accent6" xfId="608" xr:uid="{00000000-0005-0000-0000-0000EB010000}"/>
    <cellStyle name="60 % - Accent6 2" xfId="609" xr:uid="{00000000-0005-0000-0000-0000EC010000}"/>
    <cellStyle name="60 % - Accent6 2 2" xfId="610" xr:uid="{00000000-0005-0000-0000-0000ED010000}"/>
    <cellStyle name="60 % - Accent6 3" xfId="611" xr:uid="{00000000-0005-0000-0000-0000EE010000}"/>
    <cellStyle name="60 % - Accent1" xfId="19" builtinId="32" customBuiltin="1"/>
    <cellStyle name="60 % - Accent1 2" xfId="612" xr:uid="{00000000-0005-0000-0000-0000F0010000}"/>
    <cellStyle name="60 % - Accent1 2 2" xfId="613" xr:uid="{00000000-0005-0000-0000-0000F1010000}"/>
    <cellStyle name="60 % - Accent1 2 3" xfId="614" xr:uid="{00000000-0005-0000-0000-0000F2010000}"/>
    <cellStyle name="60 % - Accent2" xfId="23" builtinId="36" customBuiltin="1"/>
    <cellStyle name="60 % - Accent2 2" xfId="615" xr:uid="{00000000-0005-0000-0000-0000F4010000}"/>
    <cellStyle name="60 % - Accent2 2 2" xfId="616" xr:uid="{00000000-0005-0000-0000-0000F5010000}"/>
    <cellStyle name="60 % - Accent2 2 3" xfId="617" xr:uid="{00000000-0005-0000-0000-0000F6010000}"/>
    <cellStyle name="60 % - Accent3" xfId="27" builtinId="40" customBuiltin="1"/>
    <cellStyle name="60 % - Accent3 2" xfId="618" xr:uid="{00000000-0005-0000-0000-0000F8010000}"/>
    <cellStyle name="60 % - Accent3 2 2" xfId="619" xr:uid="{00000000-0005-0000-0000-0000F9010000}"/>
    <cellStyle name="60 % - Accent3 2 3" xfId="620" xr:uid="{00000000-0005-0000-0000-0000FA010000}"/>
    <cellStyle name="60 % - Accent4" xfId="31" builtinId="44" customBuiltin="1"/>
    <cellStyle name="60 % - Accent4 2" xfId="621" xr:uid="{00000000-0005-0000-0000-0000FC010000}"/>
    <cellStyle name="60 % - Accent4 2 2" xfId="622" xr:uid="{00000000-0005-0000-0000-0000FD010000}"/>
    <cellStyle name="60 % - Accent4 2 3" xfId="623" xr:uid="{00000000-0005-0000-0000-0000FE010000}"/>
    <cellStyle name="60 % - Accent5" xfId="35" builtinId="48" customBuiltin="1"/>
    <cellStyle name="60 % - Accent5 2" xfId="624" xr:uid="{00000000-0005-0000-0000-000000020000}"/>
    <cellStyle name="60 % - Accent5 2 2" xfId="625" xr:uid="{00000000-0005-0000-0000-000001020000}"/>
    <cellStyle name="60 % - Accent5 2 3" xfId="626" xr:uid="{00000000-0005-0000-0000-000002020000}"/>
    <cellStyle name="60 % - Accent6" xfId="39" builtinId="52" customBuiltin="1"/>
    <cellStyle name="60 % - Accent6 2" xfId="627" xr:uid="{00000000-0005-0000-0000-000004020000}"/>
    <cellStyle name="60 % - Accent6 2 2" xfId="628" xr:uid="{00000000-0005-0000-0000-000005020000}"/>
    <cellStyle name="60 % - Accent6 2 3" xfId="629" xr:uid="{00000000-0005-0000-0000-000006020000}"/>
    <cellStyle name="60% - Accent1" xfId="630" xr:uid="{00000000-0005-0000-0000-000007020000}"/>
    <cellStyle name="60% - Accent1 2" xfId="631" xr:uid="{00000000-0005-0000-0000-000008020000}"/>
    <cellStyle name="60% - Accent1 3" xfId="632" xr:uid="{00000000-0005-0000-0000-000009020000}"/>
    <cellStyle name="60% - Accent2" xfId="633" xr:uid="{00000000-0005-0000-0000-00000A020000}"/>
    <cellStyle name="60% - Accent2 2" xfId="634" xr:uid="{00000000-0005-0000-0000-00000B020000}"/>
    <cellStyle name="60% - Accent2 3" xfId="635" xr:uid="{00000000-0005-0000-0000-00000C020000}"/>
    <cellStyle name="60% - Accent3" xfId="636" xr:uid="{00000000-0005-0000-0000-00000D020000}"/>
    <cellStyle name="60% - Accent3 2" xfId="637" xr:uid="{00000000-0005-0000-0000-00000E020000}"/>
    <cellStyle name="60% - Accent3 3" xfId="638" xr:uid="{00000000-0005-0000-0000-00000F020000}"/>
    <cellStyle name="60% - Accent4" xfId="639" xr:uid="{00000000-0005-0000-0000-000010020000}"/>
    <cellStyle name="60% - Accent4 2" xfId="640" xr:uid="{00000000-0005-0000-0000-000011020000}"/>
    <cellStyle name="60% - Accent4 3" xfId="641" xr:uid="{00000000-0005-0000-0000-000012020000}"/>
    <cellStyle name="60% - Accent5" xfId="642" xr:uid="{00000000-0005-0000-0000-000013020000}"/>
    <cellStyle name="60% - Accent5 2" xfId="643" xr:uid="{00000000-0005-0000-0000-000014020000}"/>
    <cellStyle name="60% - Accent5 3" xfId="644" xr:uid="{00000000-0005-0000-0000-000015020000}"/>
    <cellStyle name="60% - Accent6" xfId="645" xr:uid="{00000000-0005-0000-0000-000016020000}"/>
    <cellStyle name="60% - Accent6 2" xfId="646" xr:uid="{00000000-0005-0000-0000-000017020000}"/>
    <cellStyle name="60% - Accent6 3" xfId="647" xr:uid="{00000000-0005-0000-0000-000018020000}"/>
    <cellStyle name="60% - Colore 1" xfId="648" xr:uid="{00000000-0005-0000-0000-000019020000}"/>
    <cellStyle name="60% - Colore 1 2" xfId="649" xr:uid="{00000000-0005-0000-0000-00001A020000}"/>
    <cellStyle name="60% - Colore 1 3" xfId="650" xr:uid="{00000000-0005-0000-0000-00001B020000}"/>
    <cellStyle name="60% - Colore 2" xfId="651" xr:uid="{00000000-0005-0000-0000-00001C020000}"/>
    <cellStyle name="60% - Colore 2 2" xfId="652" xr:uid="{00000000-0005-0000-0000-00001D020000}"/>
    <cellStyle name="60% - Colore 2 3" xfId="653" xr:uid="{00000000-0005-0000-0000-00001E020000}"/>
    <cellStyle name="60% - Colore 3" xfId="654" xr:uid="{00000000-0005-0000-0000-00001F020000}"/>
    <cellStyle name="60% - Colore 3 2" xfId="655" xr:uid="{00000000-0005-0000-0000-000020020000}"/>
    <cellStyle name="60% - Colore 3 3" xfId="656" xr:uid="{00000000-0005-0000-0000-000021020000}"/>
    <cellStyle name="60% - Colore 4" xfId="657" xr:uid="{00000000-0005-0000-0000-000022020000}"/>
    <cellStyle name="60% - Colore 4 2" xfId="658" xr:uid="{00000000-0005-0000-0000-000023020000}"/>
    <cellStyle name="60% - Colore 4 3" xfId="659" xr:uid="{00000000-0005-0000-0000-000024020000}"/>
    <cellStyle name="60% - Colore 5" xfId="660" xr:uid="{00000000-0005-0000-0000-000025020000}"/>
    <cellStyle name="60% - Colore 5 2" xfId="661" xr:uid="{00000000-0005-0000-0000-000026020000}"/>
    <cellStyle name="60% - Colore 5 3" xfId="662" xr:uid="{00000000-0005-0000-0000-000027020000}"/>
    <cellStyle name="60% - Colore 6" xfId="663" xr:uid="{00000000-0005-0000-0000-000028020000}"/>
    <cellStyle name="60% - Colore 6 2" xfId="664" xr:uid="{00000000-0005-0000-0000-000029020000}"/>
    <cellStyle name="60% - Colore 6 3" xfId="665" xr:uid="{00000000-0005-0000-0000-00002A020000}"/>
    <cellStyle name="60% - Énfasis1" xfId="666" xr:uid="{00000000-0005-0000-0000-00002B020000}"/>
    <cellStyle name="60% - Énfasis1 2" xfId="667" xr:uid="{00000000-0005-0000-0000-00002C020000}"/>
    <cellStyle name="60% - Énfasis1 3" xfId="668" xr:uid="{00000000-0005-0000-0000-00002D020000}"/>
    <cellStyle name="60% - Énfasis2" xfId="669" xr:uid="{00000000-0005-0000-0000-00002E020000}"/>
    <cellStyle name="60% - Énfasis2 2" xfId="670" xr:uid="{00000000-0005-0000-0000-00002F020000}"/>
    <cellStyle name="60% - Énfasis2 3" xfId="671" xr:uid="{00000000-0005-0000-0000-000030020000}"/>
    <cellStyle name="60% - Énfasis3" xfId="672" xr:uid="{00000000-0005-0000-0000-000031020000}"/>
    <cellStyle name="60% - Énfasis3 2" xfId="673" xr:uid="{00000000-0005-0000-0000-000032020000}"/>
    <cellStyle name="60% - Énfasis3 3" xfId="674" xr:uid="{00000000-0005-0000-0000-000033020000}"/>
    <cellStyle name="60% - Énfasis4" xfId="675" xr:uid="{00000000-0005-0000-0000-000034020000}"/>
    <cellStyle name="60% - Énfasis4 2" xfId="676" xr:uid="{00000000-0005-0000-0000-000035020000}"/>
    <cellStyle name="60% - Énfasis4 3" xfId="677" xr:uid="{00000000-0005-0000-0000-000036020000}"/>
    <cellStyle name="60% - Énfasis5" xfId="678" xr:uid="{00000000-0005-0000-0000-000037020000}"/>
    <cellStyle name="60% - Énfasis5 2" xfId="679" xr:uid="{00000000-0005-0000-0000-000038020000}"/>
    <cellStyle name="60% - Énfasis5 3" xfId="680" xr:uid="{00000000-0005-0000-0000-000039020000}"/>
    <cellStyle name="60% - Énfasis6" xfId="681" xr:uid="{00000000-0005-0000-0000-00003A020000}"/>
    <cellStyle name="60% - Énfasis6 2" xfId="682" xr:uid="{00000000-0005-0000-0000-00003B020000}"/>
    <cellStyle name="60% - Énfasis6 3" xfId="683" xr:uid="{00000000-0005-0000-0000-00003C020000}"/>
    <cellStyle name="Accent1" xfId="16" builtinId="29" customBuiltin="1"/>
    <cellStyle name="Accent1 2" xfId="684" xr:uid="{00000000-0005-0000-0000-00003E020000}"/>
    <cellStyle name="Accent1 2 2" xfId="685" xr:uid="{00000000-0005-0000-0000-00003F020000}"/>
    <cellStyle name="Accent1 2 3" xfId="686" xr:uid="{00000000-0005-0000-0000-000040020000}"/>
    <cellStyle name="Accent2" xfId="20" builtinId="33" customBuiltin="1"/>
    <cellStyle name="Accent2 2" xfId="687" xr:uid="{00000000-0005-0000-0000-000042020000}"/>
    <cellStyle name="Accent2 2 2" xfId="688" xr:uid="{00000000-0005-0000-0000-000043020000}"/>
    <cellStyle name="Accent2 2 3" xfId="689" xr:uid="{00000000-0005-0000-0000-000044020000}"/>
    <cellStyle name="Accent3" xfId="24" builtinId="37" customBuiltin="1"/>
    <cellStyle name="Accent3 2" xfId="690" xr:uid="{00000000-0005-0000-0000-000046020000}"/>
    <cellStyle name="Accent3 2 2" xfId="691" xr:uid="{00000000-0005-0000-0000-000047020000}"/>
    <cellStyle name="Accent3 2 3" xfId="692" xr:uid="{00000000-0005-0000-0000-000048020000}"/>
    <cellStyle name="Accent4" xfId="28" builtinId="41" customBuiltin="1"/>
    <cellStyle name="Accent4 2" xfId="693" xr:uid="{00000000-0005-0000-0000-00004A020000}"/>
    <cellStyle name="Accent4 2 2" xfId="694" xr:uid="{00000000-0005-0000-0000-00004B020000}"/>
    <cellStyle name="Accent4 2 3" xfId="695" xr:uid="{00000000-0005-0000-0000-00004C020000}"/>
    <cellStyle name="Accent5" xfId="32" builtinId="45" customBuiltin="1"/>
    <cellStyle name="Accent5 2" xfId="696" xr:uid="{00000000-0005-0000-0000-00004E020000}"/>
    <cellStyle name="Accent5 2 2" xfId="697" xr:uid="{00000000-0005-0000-0000-00004F020000}"/>
    <cellStyle name="Accent5 2 3" xfId="698" xr:uid="{00000000-0005-0000-0000-000050020000}"/>
    <cellStyle name="Accent6" xfId="36" builtinId="49" customBuiltin="1"/>
    <cellStyle name="Accent6 2" xfId="699" xr:uid="{00000000-0005-0000-0000-000052020000}"/>
    <cellStyle name="Accent6 2 2" xfId="700" xr:uid="{00000000-0005-0000-0000-000053020000}"/>
    <cellStyle name="Accent6 2 3" xfId="701" xr:uid="{00000000-0005-0000-0000-000054020000}"/>
    <cellStyle name="Avertissement" xfId="13" builtinId="11" customBuiltin="1"/>
    <cellStyle name="Avertissement 2" xfId="702" xr:uid="{00000000-0005-0000-0000-000056020000}"/>
    <cellStyle name="Avertissement 2 2" xfId="703" xr:uid="{00000000-0005-0000-0000-000057020000}"/>
    <cellStyle name="Avertissement 2 3" xfId="704" xr:uid="{00000000-0005-0000-0000-000058020000}"/>
    <cellStyle name="Bad" xfId="705" xr:uid="{00000000-0005-0000-0000-000059020000}"/>
    <cellStyle name="Bad 2" xfId="706" xr:uid="{00000000-0005-0000-0000-00005A020000}"/>
    <cellStyle name="Bad 3" xfId="707" xr:uid="{00000000-0005-0000-0000-00005B020000}"/>
    <cellStyle name="Bilan GES" xfId="46" xr:uid="{00000000-0005-0000-0000-00005C020000}"/>
    <cellStyle name="Bilan GES 2" xfId="61" xr:uid="{00000000-0005-0000-0000-00005D020000}"/>
    <cellStyle name="Bilan GES 2 2" xfId="77" xr:uid="{00000000-0005-0000-0000-00005E020000}"/>
    <cellStyle name="Bilan GES 2 2 2" xfId="104" xr:uid="{00000000-0005-0000-0000-00005F020000}"/>
    <cellStyle name="Bold GHG Numbers (0.00)" xfId="708" xr:uid="{00000000-0005-0000-0000-000060020000}"/>
    <cellStyle name="Bold GHG Numbers (0.00) 2" xfId="709" xr:uid="{00000000-0005-0000-0000-000061020000}"/>
    <cellStyle name="Bold GHG Numbers (0.00) 3" xfId="710" xr:uid="{00000000-0005-0000-0000-000062020000}"/>
    <cellStyle name="Bon" xfId="711" xr:uid="{00000000-0005-0000-0000-000063020000}"/>
    <cellStyle name="Bon 2" xfId="712" xr:uid="{00000000-0005-0000-0000-000064020000}"/>
    <cellStyle name="Bon 3" xfId="713" xr:uid="{00000000-0005-0000-0000-000065020000}"/>
    <cellStyle name="Buena" xfId="714" xr:uid="{00000000-0005-0000-0000-000066020000}"/>
    <cellStyle name="Buena 2" xfId="715" xr:uid="{00000000-0005-0000-0000-000067020000}"/>
    <cellStyle name="Buena 3" xfId="716" xr:uid="{00000000-0005-0000-0000-000068020000}"/>
    <cellStyle name="Calcolo" xfId="717" xr:uid="{00000000-0005-0000-0000-000069020000}"/>
    <cellStyle name="Calcolo 2" xfId="718" xr:uid="{00000000-0005-0000-0000-00006A020000}"/>
    <cellStyle name="Calcolo 3" xfId="719" xr:uid="{00000000-0005-0000-0000-00006B020000}"/>
    <cellStyle name="Calcul" xfId="10" builtinId="22" customBuiltin="1"/>
    <cellStyle name="Calcul 2" xfId="720" xr:uid="{00000000-0005-0000-0000-00006D020000}"/>
    <cellStyle name="Calcul 2 2" xfId="721" xr:uid="{00000000-0005-0000-0000-00006E020000}"/>
    <cellStyle name="Calcul 2 3" xfId="722" xr:uid="{00000000-0005-0000-0000-00006F020000}"/>
    <cellStyle name="Calculation" xfId="723" xr:uid="{00000000-0005-0000-0000-000070020000}"/>
    <cellStyle name="Calculation 2" xfId="724" xr:uid="{00000000-0005-0000-0000-000071020000}"/>
    <cellStyle name="Calculation 3" xfId="725" xr:uid="{00000000-0005-0000-0000-000072020000}"/>
    <cellStyle name="Cálculo" xfId="726" xr:uid="{00000000-0005-0000-0000-000073020000}"/>
    <cellStyle name="Cálculo 2" xfId="727" xr:uid="{00000000-0005-0000-0000-000074020000}"/>
    <cellStyle name="Cálculo 3" xfId="728" xr:uid="{00000000-0005-0000-0000-000075020000}"/>
    <cellStyle name="Celda de comprobación" xfId="729" xr:uid="{00000000-0005-0000-0000-000076020000}"/>
    <cellStyle name="Celda de comprobación 2" xfId="730" xr:uid="{00000000-0005-0000-0000-000077020000}"/>
    <cellStyle name="Celda de comprobación 3" xfId="731" xr:uid="{00000000-0005-0000-0000-000078020000}"/>
    <cellStyle name="Celda vinculada" xfId="732" xr:uid="{00000000-0005-0000-0000-000079020000}"/>
    <cellStyle name="Celda vinculada 2" xfId="733" xr:uid="{00000000-0005-0000-0000-00007A020000}"/>
    <cellStyle name="Celda vinculada 3" xfId="734" xr:uid="{00000000-0005-0000-0000-00007B020000}"/>
    <cellStyle name="Cella collegata" xfId="735" xr:uid="{00000000-0005-0000-0000-00007C020000}"/>
    <cellStyle name="Cella collegata 2" xfId="736" xr:uid="{00000000-0005-0000-0000-00007D020000}"/>
    <cellStyle name="Cella collegata 3" xfId="737" xr:uid="{00000000-0005-0000-0000-00007E020000}"/>
    <cellStyle name="Cella da controllare" xfId="738" xr:uid="{00000000-0005-0000-0000-00007F020000}"/>
    <cellStyle name="Cella da controllare 2" xfId="739" xr:uid="{00000000-0005-0000-0000-000080020000}"/>
    <cellStyle name="Cella da controllare 3" xfId="740" xr:uid="{00000000-0005-0000-0000-000081020000}"/>
    <cellStyle name="Cellule liée" xfId="11" builtinId="24" customBuiltin="1"/>
    <cellStyle name="Cellule liée 2" xfId="741" xr:uid="{00000000-0005-0000-0000-000083020000}"/>
    <cellStyle name="Cellule liée 2 2" xfId="742" xr:uid="{00000000-0005-0000-0000-000084020000}"/>
    <cellStyle name="Cellule liée 2 3" xfId="743" xr:uid="{00000000-0005-0000-0000-000085020000}"/>
    <cellStyle name="Check Cell" xfId="744" xr:uid="{00000000-0005-0000-0000-000086020000}"/>
    <cellStyle name="Check Cell 2" xfId="745" xr:uid="{00000000-0005-0000-0000-000087020000}"/>
    <cellStyle name="Check Cell 3" xfId="746" xr:uid="{00000000-0005-0000-0000-000088020000}"/>
    <cellStyle name="classeur | commentaire" xfId="747" xr:uid="{00000000-0005-0000-0000-000089020000}"/>
    <cellStyle name="classeur | commentaire 2" xfId="748" xr:uid="{00000000-0005-0000-0000-00008A020000}"/>
    <cellStyle name="classeur | commentaire 2 2" xfId="749" xr:uid="{00000000-0005-0000-0000-00008B020000}"/>
    <cellStyle name="classeur | commentaire 2 3" xfId="750" xr:uid="{00000000-0005-0000-0000-00008C020000}"/>
    <cellStyle name="classeur | commentaire 3" xfId="751" xr:uid="{00000000-0005-0000-0000-00008D020000}"/>
    <cellStyle name="classeur | commentaire 3 2" xfId="752" xr:uid="{00000000-0005-0000-0000-00008E020000}"/>
    <cellStyle name="classeur | commentaire 3 3" xfId="753" xr:uid="{00000000-0005-0000-0000-00008F020000}"/>
    <cellStyle name="classeur | commentaire 4" xfId="754" xr:uid="{00000000-0005-0000-0000-000090020000}"/>
    <cellStyle name="classeur | commentaire 4 2" xfId="755" xr:uid="{00000000-0005-0000-0000-000091020000}"/>
    <cellStyle name="classeur | commentaire 4 3" xfId="756" xr:uid="{00000000-0005-0000-0000-000092020000}"/>
    <cellStyle name="classeur | commentaire 5" xfId="757" xr:uid="{00000000-0005-0000-0000-000093020000}"/>
    <cellStyle name="classeur | commentaire 5 2" xfId="758" xr:uid="{00000000-0005-0000-0000-000094020000}"/>
    <cellStyle name="classeur | commentaire 5 3" xfId="759" xr:uid="{00000000-0005-0000-0000-000095020000}"/>
    <cellStyle name="classeur | commentaire 6" xfId="760" xr:uid="{00000000-0005-0000-0000-000096020000}"/>
    <cellStyle name="classeur | commentaire 7" xfId="761" xr:uid="{00000000-0005-0000-0000-000097020000}"/>
    <cellStyle name="classeur | extraction | series | particulier" xfId="762" xr:uid="{00000000-0005-0000-0000-000098020000}"/>
    <cellStyle name="classeur | extraction | series | particulier 2" xfId="763" xr:uid="{00000000-0005-0000-0000-000099020000}"/>
    <cellStyle name="classeur | extraction | series | particulier 2 2" xfId="764" xr:uid="{00000000-0005-0000-0000-00009A020000}"/>
    <cellStyle name="classeur | extraction | series | particulier 2 2 2" xfId="765" xr:uid="{00000000-0005-0000-0000-00009B020000}"/>
    <cellStyle name="classeur | extraction | series | particulier 2 2 3" xfId="766" xr:uid="{00000000-0005-0000-0000-00009C020000}"/>
    <cellStyle name="classeur | extraction | series | particulier 2 3" xfId="767" xr:uid="{00000000-0005-0000-0000-00009D020000}"/>
    <cellStyle name="classeur | extraction | series | particulier 2 4" xfId="768" xr:uid="{00000000-0005-0000-0000-00009E020000}"/>
    <cellStyle name="classeur | extraction | series | particulier 3" xfId="769" xr:uid="{00000000-0005-0000-0000-00009F020000}"/>
    <cellStyle name="classeur | extraction | series | particulier 3 2" xfId="770" xr:uid="{00000000-0005-0000-0000-0000A0020000}"/>
    <cellStyle name="classeur | extraction | series | particulier 3 3" xfId="771" xr:uid="{00000000-0005-0000-0000-0000A1020000}"/>
    <cellStyle name="classeur | extraction | series | particulier 4" xfId="772" xr:uid="{00000000-0005-0000-0000-0000A2020000}"/>
    <cellStyle name="classeur | extraction | series | particulier 4 2" xfId="773" xr:uid="{00000000-0005-0000-0000-0000A3020000}"/>
    <cellStyle name="classeur | extraction | series | particulier 4 3" xfId="774" xr:uid="{00000000-0005-0000-0000-0000A4020000}"/>
    <cellStyle name="classeur | extraction | series | particulier 5" xfId="775" xr:uid="{00000000-0005-0000-0000-0000A5020000}"/>
    <cellStyle name="classeur | extraction | series | particulier 6" xfId="776" xr:uid="{00000000-0005-0000-0000-0000A6020000}"/>
    <cellStyle name="classeur | extraction | series | quinquenal" xfId="777" xr:uid="{00000000-0005-0000-0000-0000A7020000}"/>
    <cellStyle name="classeur | extraction | series | quinquenal 2" xfId="778" xr:uid="{00000000-0005-0000-0000-0000A8020000}"/>
    <cellStyle name="classeur | extraction | series | quinquenal 2 2" xfId="779" xr:uid="{00000000-0005-0000-0000-0000A9020000}"/>
    <cellStyle name="classeur | extraction | series | quinquenal 2 3" xfId="780" xr:uid="{00000000-0005-0000-0000-0000AA020000}"/>
    <cellStyle name="classeur | extraction | series | quinquenal 3" xfId="781" xr:uid="{00000000-0005-0000-0000-0000AB020000}"/>
    <cellStyle name="classeur | extraction | series | quinquenal 3 2" xfId="782" xr:uid="{00000000-0005-0000-0000-0000AC020000}"/>
    <cellStyle name="classeur | extraction | series | quinquenal 3 3" xfId="783" xr:uid="{00000000-0005-0000-0000-0000AD020000}"/>
    <cellStyle name="classeur | extraction | series | quinquenal 4" xfId="784" xr:uid="{00000000-0005-0000-0000-0000AE020000}"/>
    <cellStyle name="classeur | extraction | series | quinquenal 4 2" xfId="785" xr:uid="{00000000-0005-0000-0000-0000AF020000}"/>
    <cellStyle name="classeur | extraction | series | quinquenal 4 3" xfId="786" xr:uid="{00000000-0005-0000-0000-0000B0020000}"/>
    <cellStyle name="classeur | extraction | series | quinquenal 5" xfId="787" xr:uid="{00000000-0005-0000-0000-0000B1020000}"/>
    <cellStyle name="classeur | extraction | series | quinquenal 5 2" xfId="788" xr:uid="{00000000-0005-0000-0000-0000B2020000}"/>
    <cellStyle name="classeur | extraction | series | quinquenal 5 3" xfId="789" xr:uid="{00000000-0005-0000-0000-0000B3020000}"/>
    <cellStyle name="classeur | extraction | series | quinquenal 6" xfId="790" xr:uid="{00000000-0005-0000-0000-0000B4020000}"/>
    <cellStyle name="classeur | extraction | series | quinquenal 7" xfId="791" xr:uid="{00000000-0005-0000-0000-0000B5020000}"/>
    <cellStyle name="classeur | extraction | series | sept dernieres" xfId="792" xr:uid="{00000000-0005-0000-0000-0000B6020000}"/>
    <cellStyle name="classeur | extraction | series | sept dernieres 2" xfId="793" xr:uid="{00000000-0005-0000-0000-0000B7020000}"/>
    <cellStyle name="classeur | extraction | series | sept dernieres 2 2" xfId="794" xr:uid="{00000000-0005-0000-0000-0000B8020000}"/>
    <cellStyle name="classeur | extraction | series | sept dernieres 2 2 2" xfId="795" xr:uid="{00000000-0005-0000-0000-0000B9020000}"/>
    <cellStyle name="classeur | extraction | series | sept dernieres 2 2 3" xfId="796" xr:uid="{00000000-0005-0000-0000-0000BA020000}"/>
    <cellStyle name="classeur | extraction | series | sept dernieres 2 3" xfId="797" xr:uid="{00000000-0005-0000-0000-0000BB020000}"/>
    <cellStyle name="classeur | extraction | series | sept dernieres 2 4" xfId="798" xr:uid="{00000000-0005-0000-0000-0000BC020000}"/>
    <cellStyle name="classeur | extraction | series | sept dernieres 3" xfId="799" xr:uid="{00000000-0005-0000-0000-0000BD020000}"/>
    <cellStyle name="classeur | extraction | series | sept dernieres 3 2" xfId="800" xr:uid="{00000000-0005-0000-0000-0000BE020000}"/>
    <cellStyle name="classeur | extraction | series | sept dernieres 3 3" xfId="801" xr:uid="{00000000-0005-0000-0000-0000BF020000}"/>
    <cellStyle name="classeur | extraction | series | sept dernieres 4" xfId="802" xr:uid="{00000000-0005-0000-0000-0000C0020000}"/>
    <cellStyle name="classeur | extraction | series | sept dernieres 4 2" xfId="803" xr:uid="{00000000-0005-0000-0000-0000C1020000}"/>
    <cellStyle name="classeur | extraction | series | sept dernieres 4 3" xfId="804" xr:uid="{00000000-0005-0000-0000-0000C2020000}"/>
    <cellStyle name="classeur | extraction | series | sept dernieres 5" xfId="805" xr:uid="{00000000-0005-0000-0000-0000C3020000}"/>
    <cellStyle name="classeur | extraction | series | sept dernieres 5 2" xfId="806" xr:uid="{00000000-0005-0000-0000-0000C4020000}"/>
    <cellStyle name="classeur | extraction | series | sept dernieres 5 3" xfId="807" xr:uid="{00000000-0005-0000-0000-0000C5020000}"/>
    <cellStyle name="classeur | extraction | series | sept dernieres 6" xfId="808" xr:uid="{00000000-0005-0000-0000-0000C6020000}"/>
    <cellStyle name="classeur | extraction | series | sept dernieres 7" xfId="809" xr:uid="{00000000-0005-0000-0000-0000C7020000}"/>
    <cellStyle name="classeur | extraction | structure | dernier" xfId="810" xr:uid="{00000000-0005-0000-0000-0000C8020000}"/>
    <cellStyle name="classeur | extraction | structure | dernier 2" xfId="811" xr:uid="{00000000-0005-0000-0000-0000C9020000}"/>
    <cellStyle name="classeur | extraction | structure | dernier 2 2" xfId="812" xr:uid="{00000000-0005-0000-0000-0000CA020000}"/>
    <cellStyle name="classeur | extraction | structure | dernier 2 2 2" xfId="813" xr:uid="{00000000-0005-0000-0000-0000CB020000}"/>
    <cellStyle name="classeur | extraction | structure | dernier 2 2 3" xfId="814" xr:uid="{00000000-0005-0000-0000-0000CC020000}"/>
    <cellStyle name="classeur | extraction | structure | dernier 2 3" xfId="815" xr:uid="{00000000-0005-0000-0000-0000CD020000}"/>
    <cellStyle name="classeur | extraction | structure | dernier 2 4" xfId="816" xr:uid="{00000000-0005-0000-0000-0000CE020000}"/>
    <cellStyle name="classeur | extraction | structure | dernier 3" xfId="817" xr:uid="{00000000-0005-0000-0000-0000CF020000}"/>
    <cellStyle name="classeur | extraction | structure | dernier 3 2" xfId="818" xr:uid="{00000000-0005-0000-0000-0000D0020000}"/>
    <cellStyle name="classeur | extraction | structure | dernier 3 3" xfId="819" xr:uid="{00000000-0005-0000-0000-0000D1020000}"/>
    <cellStyle name="classeur | extraction | structure | dernier 4" xfId="820" xr:uid="{00000000-0005-0000-0000-0000D2020000}"/>
    <cellStyle name="classeur | extraction | structure | dernier 4 2" xfId="821" xr:uid="{00000000-0005-0000-0000-0000D3020000}"/>
    <cellStyle name="classeur | extraction | structure | dernier 4 3" xfId="822" xr:uid="{00000000-0005-0000-0000-0000D4020000}"/>
    <cellStyle name="classeur | extraction | structure | dernier 5" xfId="823" xr:uid="{00000000-0005-0000-0000-0000D5020000}"/>
    <cellStyle name="classeur | extraction | structure | dernier 5 2" xfId="824" xr:uid="{00000000-0005-0000-0000-0000D6020000}"/>
    <cellStyle name="classeur | extraction | structure | dernier 5 3" xfId="825" xr:uid="{00000000-0005-0000-0000-0000D7020000}"/>
    <cellStyle name="classeur | extraction | structure | dernier 6" xfId="826" xr:uid="{00000000-0005-0000-0000-0000D8020000}"/>
    <cellStyle name="classeur | extraction | structure | dernier 7" xfId="827" xr:uid="{00000000-0005-0000-0000-0000D9020000}"/>
    <cellStyle name="classeur | extraction | structure | deux derniers" xfId="828" xr:uid="{00000000-0005-0000-0000-0000DA020000}"/>
    <cellStyle name="classeur | extraction | structure | deux derniers 2" xfId="829" xr:uid="{00000000-0005-0000-0000-0000DB020000}"/>
    <cellStyle name="classeur | extraction | structure | deux derniers 2 2" xfId="830" xr:uid="{00000000-0005-0000-0000-0000DC020000}"/>
    <cellStyle name="classeur | extraction | structure | deux derniers 2 3" xfId="831" xr:uid="{00000000-0005-0000-0000-0000DD020000}"/>
    <cellStyle name="classeur | extraction | structure | deux derniers 3" xfId="832" xr:uid="{00000000-0005-0000-0000-0000DE020000}"/>
    <cellStyle name="classeur | extraction | structure | deux derniers 3 2" xfId="833" xr:uid="{00000000-0005-0000-0000-0000DF020000}"/>
    <cellStyle name="classeur | extraction | structure | deux derniers 3 3" xfId="834" xr:uid="{00000000-0005-0000-0000-0000E0020000}"/>
    <cellStyle name="classeur | extraction | structure | deux derniers 4" xfId="835" xr:uid="{00000000-0005-0000-0000-0000E1020000}"/>
    <cellStyle name="classeur | extraction | structure | deux derniers 4 2" xfId="836" xr:uid="{00000000-0005-0000-0000-0000E2020000}"/>
    <cellStyle name="classeur | extraction | structure | deux derniers 4 3" xfId="837" xr:uid="{00000000-0005-0000-0000-0000E3020000}"/>
    <cellStyle name="classeur | extraction | structure | deux derniers 5" xfId="838" xr:uid="{00000000-0005-0000-0000-0000E4020000}"/>
    <cellStyle name="classeur | extraction | structure | deux derniers 5 2" xfId="839" xr:uid="{00000000-0005-0000-0000-0000E5020000}"/>
    <cellStyle name="classeur | extraction | structure | deux derniers 5 3" xfId="840" xr:uid="{00000000-0005-0000-0000-0000E6020000}"/>
    <cellStyle name="classeur | extraction | structure | deux derniers 6" xfId="841" xr:uid="{00000000-0005-0000-0000-0000E7020000}"/>
    <cellStyle name="classeur | extraction | structure | deux derniers 7" xfId="842" xr:uid="{00000000-0005-0000-0000-0000E8020000}"/>
    <cellStyle name="classeur | extraction | structure | particulier" xfId="843" xr:uid="{00000000-0005-0000-0000-0000E9020000}"/>
    <cellStyle name="classeur | extraction | structure | particulier 2" xfId="844" xr:uid="{00000000-0005-0000-0000-0000EA020000}"/>
    <cellStyle name="classeur | extraction | structure | particulier 2 2" xfId="845" xr:uid="{00000000-0005-0000-0000-0000EB020000}"/>
    <cellStyle name="classeur | extraction | structure | particulier 2 2 2" xfId="846" xr:uid="{00000000-0005-0000-0000-0000EC020000}"/>
    <cellStyle name="classeur | extraction | structure | particulier 2 2 3" xfId="847" xr:uid="{00000000-0005-0000-0000-0000ED020000}"/>
    <cellStyle name="classeur | extraction | structure | particulier 2 3" xfId="848" xr:uid="{00000000-0005-0000-0000-0000EE020000}"/>
    <cellStyle name="classeur | extraction | structure | particulier 2 4" xfId="849" xr:uid="{00000000-0005-0000-0000-0000EF020000}"/>
    <cellStyle name="classeur | extraction | structure | particulier 3" xfId="850" xr:uid="{00000000-0005-0000-0000-0000F0020000}"/>
    <cellStyle name="classeur | extraction | structure | particulier 3 2" xfId="851" xr:uid="{00000000-0005-0000-0000-0000F1020000}"/>
    <cellStyle name="classeur | extraction | structure | particulier 3 3" xfId="852" xr:uid="{00000000-0005-0000-0000-0000F2020000}"/>
    <cellStyle name="classeur | extraction | structure | particulier 4" xfId="853" xr:uid="{00000000-0005-0000-0000-0000F3020000}"/>
    <cellStyle name="classeur | extraction | structure | particulier 4 2" xfId="854" xr:uid="{00000000-0005-0000-0000-0000F4020000}"/>
    <cellStyle name="classeur | extraction | structure | particulier 4 3" xfId="855" xr:uid="{00000000-0005-0000-0000-0000F5020000}"/>
    <cellStyle name="classeur | extraction | structure | particulier 5" xfId="856" xr:uid="{00000000-0005-0000-0000-0000F6020000}"/>
    <cellStyle name="classeur | extraction | structure | particulier 5 2" xfId="857" xr:uid="{00000000-0005-0000-0000-0000F7020000}"/>
    <cellStyle name="classeur | extraction | structure | particulier 5 3" xfId="858" xr:uid="{00000000-0005-0000-0000-0000F8020000}"/>
    <cellStyle name="classeur | extraction | structure | particulier 6" xfId="859" xr:uid="{00000000-0005-0000-0000-0000F9020000}"/>
    <cellStyle name="classeur | extraction | structure | particulier 7" xfId="860" xr:uid="{00000000-0005-0000-0000-0000FA020000}"/>
    <cellStyle name="classeur | historique" xfId="861" xr:uid="{00000000-0005-0000-0000-0000FB020000}"/>
    <cellStyle name="classeur | historique 2" xfId="862" xr:uid="{00000000-0005-0000-0000-0000FC020000}"/>
    <cellStyle name="classeur | historique 2 2" xfId="863" xr:uid="{00000000-0005-0000-0000-0000FD020000}"/>
    <cellStyle name="classeur | historique 2 3" xfId="864" xr:uid="{00000000-0005-0000-0000-0000FE020000}"/>
    <cellStyle name="classeur | historique 3" xfId="865" xr:uid="{00000000-0005-0000-0000-0000FF020000}"/>
    <cellStyle name="classeur | historique 3 2" xfId="866" xr:uid="{00000000-0005-0000-0000-000000030000}"/>
    <cellStyle name="classeur | historique 3 3" xfId="867" xr:uid="{00000000-0005-0000-0000-000001030000}"/>
    <cellStyle name="classeur | historique 4" xfId="868" xr:uid="{00000000-0005-0000-0000-000002030000}"/>
    <cellStyle name="classeur | historique 4 2" xfId="869" xr:uid="{00000000-0005-0000-0000-000003030000}"/>
    <cellStyle name="classeur | historique 4 3" xfId="870" xr:uid="{00000000-0005-0000-0000-000004030000}"/>
    <cellStyle name="classeur | historique 5" xfId="871" xr:uid="{00000000-0005-0000-0000-000005030000}"/>
    <cellStyle name="classeur | historique 5 2" xfId="872" xr:uid="{00000000-0005-0000-0000-000006030000}"/>
    <cellStyle name="classeur | historique 5 3" xfId="873" xr:uid="{00000000-0005-0000-0000-000007030000}"/>
    <cellStyle name="classeur | historique 6" xfId="874" xr:uid="{00000000-0005-0000-0000-000008030000}"/>
    <cellStyle name="classeur | historique 7" xfId="875" xr:uid="{00000000-0005-0000-0000-000009030000}"/>
    <cellStyle name="classeur | note | numero" xfId="876" xr:uid="{00000000-0005-0000-0000-00000A030000}"/>
    <cellStyle name="classeur | note | numero 2" xfId="877" xr:uid="{00000000-0005-0000-0000-00000B030000}"/>
    <cellStyle name="classeur | note | numero 2 2" xfId="878" xr:uid="{00000000-0005-0000-0000-00000C030000}"/>
    <cellStyle name="classeur | note | numero 2 2 2" xfId="879" xr:uid="{00000000-0005-0000-0000-00000D030000}"/>
    <cellStyle name="classeur | note | numero 2 2 3" xfId="880" xr:uid="{00000000-0005-0000-0000-00000E030000}"/>
    <cellStyle name="classeur | note | numero 2 3" xfId="881" xr:uid="{00000000-0005-0000-0000-00000F030000}"/>
    <cellStyle name="classeur | note | numero 2 4" xfId="882" xr:uid="{00000000-0005-0000-0000-000010030000}"/>
    <cellStyle name="classeur | note | numero 3" xfId="883" xr:uid="{00000000-0005-0000-0000-000011030000}"/>
    <cellStyle name="classeur | note | numero 3 2" xfId="884" xr:uid="{00000000-0005-0000-0000-000012030000}"/>
    <cellStyle name="classeur | note | numero 3 3" xfId="885" xr:uid="{00000000-0005-0000-0000-000013030000}"/>
    <cellStyle name="classeur | note | numero 4" xfId="886" xr:uid="{00000000-0005-0000-0000-000014030000}"/>
    <cellStyle name="classeur | note | numero 4 2" xfId="887" xr:uid="{00000000-0005-0000-0000-000015030000}"/>
    <cellStyle name="classeur | note | numero 4 3" xfId="888" xr:uid="{00000000-0005-0000-0000-000016030000}"/>
    <cellStyle name="classeur | note | numero 5" xfId="889" xr:uid="{00000000-0005-0000-0000-000017030000}"/>
    <cellStyle name="classeur | note | numero 6" xfId="890" xr:uid="{00000000-0005-0000-0000-000018030000}"/>
    <cellStyle name="classeur | note | texte" xfId="891" xr:uid="{00000000-0005-0000-0000-000019030000}"/>
    <cellStyle name="classeur | note | texte 2" xfId="892" xr:uid="{00000000-0005-0000-0000-00001A030000}"/>
    <cellStyle name="classeur | note | texte 2 2" xfId="893" xr:uid="{00000000-0005-0000-0000-00001B030000}"/>
    <cellStyle name="classeur | note | texte 2 3" xfId="894" xr:uid="{00000000-0005-0000-0000-00001C030000}"/>
    <cellStyle name="classeur | note | texte 3" xfId="895" xr:uid="{00000000-0005-0000-0000-00001D030000}"/>
    <cellStyle name="classeur | note | texte 3 2" xfId="896" xr:uid="{00000000-0005-0000-0000-00001E030000}"/>
    <cellStyle name="classeur | note | texte 3 3" xfId="897" xr:uid="{00000000-0005-0000-0000-00001F030000}"/>
    <cellStyle name="classeur | note | texte 4" xfId="898" xr:uid="{00000000-0005-0000-0000-000020030000}"/>
    <cellStyle name="classeur | note | texte 5" xfId="899" xr:uid="{00000000-0005-0000-0000-000021030000}"/>
    <cellStyle name="classeur | periodicite | annee scolaire" xfId="900" xr:uid="{00000000-0005-0000-0000-000022030000}"/>
    <cellStyle name="classeur | periodicite | annee scolaire 2" xfId="901" xr:uid="{00000000-0005-0000-0000-000023030000}"/>
    <cellStyle name="classeur | periodicite | annee scolaire 2 2" xfId="902" xr:uid="{00000000-0005-0000-0000-000024030000}"/>
    <cellStyle name="classeur | periodicite | annee scolaire 2 3" xfId="903" xr:uid="{00000000-0005-0000-0000-000025030000}"/>
    <cellStyle name="classeur | periodicite | annee scolaire 3" xfId="904" xr:uid="{00000000-0005-0000-0000-000026030000}"/>
    <cellStyle name="classeur | periodicite | annee scolaire 3 2" xfId="905" xr:uid="{00000000-0005-0000-0000-000027030000}"/>
    <cellStyle name="classeur | periodicite | annee scolaire 3 3" xfId="906" xr:uid="{00000000-0005-0000-0000-000028030000}"/>
    <cellStyle name="classeur | periodicite | annee scolaire 4" xfId="907" xr:uid="{00000000-0005-0000-0000-000029030000}"/>
    <cellStyle name="classeur | periodicite | annee scolaire 4 2" xfId="908" xr:uid="{00000000-0005-0000-0000-00002A030000}"/>
    <cellStyle name="classeur | periodicite | annee scolaire 4 3" xfId="909" xr:uid="{00000000-0005-0000-0000-00002B030000}"/>
    <cellStyle name="classeur | periodicite | annee scolaire 5" xfId="910" xr:uid="{00000000-0005-0000-0000-00002C030000}"/>
    <cellStyle name="classeur | periodicite | annee scolaire 5 2" xfId="911" xr:uid="{00000000-0005-0000-0000-00002D030000}"/>
    <cellStyle name="classeur | periodicite | annee scolaire 5 3" xfId="912" xr:uid="{00000000-0005-0000-0000-00002E030000}"/>
    <cellStyle name="classeur | periodicite | annee scolaire 6" xfId="913" xr:uid="{00000000-0005-0000-0000-00002F030000}"/>
    <cellStyle name="classeur | periodicite | annee scolaire 7" xfId="914" xr:uid="{00000000-0005-0000-0000-000030030000}"/>
    <cellStyle name="classeur | periodicite | annuelle" xfId="915" xr:uid="{00000000-0005-0000-0000-000031030000}"/>
    <cellStyle name="classeur | periodicite | annuelle 2" xfId="916" xr:uid="{00000000-0005-0000-0000-000032030000}"/>
    <cellStyle name="classeur | periodicite | annuelle 2 2" xfId="917" xr:uid="{00000000-0005-0000-0000-000033030000}"/>
    <cellStyle name="classeur | periodicite | annuelle 2 3" xfId="918" xr:uid="{00000000-0005-0000-0000-000034030000}"/>
    <cellStyle name="classeur | periodicite | annuelle 3" xfId="919" xr:uid="{00000000-0005-0000-0000-000035030000}"/>
    <cellStyle name="classeur | periodicite | annuelle 3 2" xfId="920" xr:uid="{00000000-0005-0000-0000-000036030000}"/>
    <cellStyle name="classeur | periodicite | annuelle 3 3" xfId="921" xr:uid="{00000000-0005-0000-0000-000037030000}"/>
    <cellStyle name="classeur | periodicite | annuelle 4" xfId="922" xr:uid="{00000000-0005-0000-0000-000038030000}"/>
    <cellStyle name="classeur | periodicite | annuelle 5" xfId="923" xr:uid="{00000000-0005-0000-0000-000039030000}"/>
    <cellStyle name="classeur | periodicite | autre" xfId="924" xr:uid="{00000000-0005-0000-0000-00003A030000}"/>
    <cellStyle name="classeur | periodicite | autre 2" xfId="925" xr:uid="{00000000-0005-0000-0000-00003B030000}"/>
    <cellStyle name="classeur | periodicite | autre 2 2" xfId="926" xr:uid="{00000000-0005-0000-0000-00003C030000}"/>
    <cellStyle name="classeur | periodicite | autre 2 2 2" xfId="927" xr:uid="{00000000-0005-0000-0000-00003D030000}"/>
    <cellStyle name="classeur | periodicite | autre 2 2 3" xfId="928" xr:uid="{00000000-0005-0000-0000-00003E030000}"/>
    <cellStyle name="classeur | periodicite | autre 2 3" xfId="929" xr:uid="{00000000-0005-0000-0000-00003F030000}"/>
    <cellStyle name="classeur | periodicite | autre 2 4" xfId="930" xr:uid="{00000000-0005-0000-0000-000040030000}"/>
    <cellStyle name="classeur | periodicite | autre 3" xfId="931" xr:uid="{00000000-0005-0000-0000-000041030000}"/>
    <cellStyle name="classeur | periodicite | autre 3 2" xfId="932" xr:uid="{00000000-0005-0000-0000-000042030000}"/>
    <cellStyle name="classeur | periodicite | autre 3 3" xfId="933" xr:uid="{00000000-0005-0000-0000-000043030000}"/>
    <cellStyle name="classeur | periodicite | autre 4" xfId="934" xr:uid="{00000000-0005-0000-0000-000044030000}"/>
    <cellStyle name="classeur | periodicite | autre 5" xfId="935" xr:uid="{00000000-0005-0000-0000-000045030000}"/>
    <cellStyle name="classeur | periodicite | bimestrielle" xfId="936" xr:uid="{00000000-0005-0000-0000-000046030000}"/>
    <cellStyle name="classeur | periodicite | bimestrielle 2" xfId="937" xr:uid="{00000000-0005-0000-0000-000047030000}"/>
    <cellStyle name="classeur | periodicite | bimestrielle 2 2" xfId="938" xr:uid="{00000000-0005-0000-0000-000048030000}"/>
    <cellStyle name="classeur | periodicite | bimestrielle 2 2 2" xfId="939" xr:uid="{00000000-0005-0000-0000-000049030000}"/>
    <cellStyle name="classeur | periodicite | bimestrielle 2 2 3" xfId="940" xr:uid="{00000000-0005-0000-0000-00004A030000}"/>
    <cellStyle name="classeur | periodicite | bimestrielle 2 3" xfId="941" xr:uid="{00000000-0005-0000-0000-00004B030000}"/>
    <cellStyle name="classeur | periodicite | bimestrielle 2 4" xfId="942" xr:uid="{00000000-0005-0000-0000-00004C030000}"/>
    <cellStyle name="classeur | periodicite | bimestrielle 3" xfId="943" xr:uid="{00000000-0005-0000-0000-00004D030000}"/>
    <cellStyle name="classeur | periodicite | bimestrielle 3 2" xfId="944" xr:uid="{00000000-0005-0000-0000-00004E030000}"/>
    <cellStyle name="classeur | periodicite | bimestrielle 3 3" xfId="945" xr:uid="{00000000-0005-0000-0000-00004F030000}"/>
    <cellStyle name="classeur | periodicite | bimestrielle 4" xfId="946" xr:uid="{00000000-0005-0000-0000-000050030000}"/>
    <cellStyle name="classeur | periodicite | bimestrielle 4 2" xfId="947" xr:uid="{00000000-0005-0000-0000-000051030000}"/>
    <cellStyle name="classeur | periodicite | bimestrielle 4 3" xfId="948" xr:uid="{00000000-0005-0000-0000-000052030000}"/>
    <cellStyle name="classeur | periodicite | bimestrielle 5" xfId="949" xr:uid="{00000000-0005-0000-0000-000053030000}"/>
    <cellStyle name="classeur | periodicite | bimestrielle 5 2" xfId="950" xr:uid="{00000000-0005-0000-0000-000054030000}"/>
    <cellStyle name="classeur | periodicite | bimestrielle 5 3" xfId="951" xr:uid="{00000000-0005-0000-0000-000055030000}"/>
    <cellStyle name="classeur | periodicite | bimestrielle 6" xfId="952" xr:uid="{00000000-0005-0000-0000-000056030000}"/>
    <cellStyle name="classeur | periodicite | bimestrielle 7" xfId="953" xr:uid="{00000000-0005-0000-0000-000057030000}"/>
    <cellStyle name="classeur | periodicite | mensuelle" xfId="954" xr:uid="{00000000-0005-0000-0000-000058030000}"/>
    <cellStyle name="classeur | periodicite | mensuelle 2" xfId="955" xr:uid="{00000000-0005-0000-0000-000059030000}"/>
    <cellStyle name="classeur | periodicite | mensuelle 2 2" xfId="956" xr:uid="{00000000-0005-0000-0000-00005A030000}"/>
    <cellStyle name="classeur | periodicite | mensuelle 2 3" xfId="957" xr:uid="{00000000-0005-0000-0000-00005B030000}"/>
    <cellStyle name="classeur | periodicite | mensuelle 3" xfId="958" xr:uid="{00000000-0005-0000-0000-00005C030000}"/>
    <cellStyle name="classeur | periodicite | mensuelle 3 2" xfId="959" xr:uid="{00000000-0005-0000-0000-00005D030000}"/>
    <cellStyle name="classeur | periodicite | mensuelle 3 3" xfId="960" xr:uid="{00000000-0005-0000-0000-00005E030000}"/>
    <cellStyle name="classeur | periodicite | mensuelle 4" xfId="961" xr:uid="{00000000-0005-0000-0000-00005F030000}"/>
    <cellStyle name="classeur | periodicite | mensuelle 4 2" xfId="962" xr:uid="{00000000-0005-0000-0000-000060030000}"/>
    <cellStyle name="classeur | periodicite | mensuelle 4 3" xfId="963" xr:uid="{00000000-0005-0000-0000-000061030000}"/>
    <cellStyle name="classeur | periodicite | mensuelle 5" xfId="964" xr:uid="{00000000-0005-0000-0000-000062030000}"/>
    <cellStyle name="classeur | periodicite | mensuelle 5 2" xfId="965" xr:uid="{00000000-0005-0000-0000-000063030000}"/>
    <cellStyle name="classeur | periodicite | mensuelle 5 3" xfId="966" xr:uid="{00000000-0005-0000-0000-000064030000}"/>
    <cellStyle name="classeur | periodicite | mensuelle 6" xfId="967" xr:uid="{00000000-0005-0000-0000-000065030000}"/>
    <cellStyle name="classeur | periodicite | mensuelle 7" xfId="968" xr:uid="{00000000-0005-0000-0000-000066030000}"/>
    <cellStyle name="classeur | periodicite | semestrielle" xfId="969" xr:uid="{00000000-0005-0000-0000-000067030000}"/>
    <cellStyle name="classeur | periodicite | semestrielle 2" xfId="970" xr:uid="{00000000-0005-0000-0000-000068030000}"/>
    <cellStyle name="classeur | periodicite | semestrielle 2 2" xfId="971" xr:uid="{00000000-0005-0000-0000-000069030000}"/>
    <cellStyle name="classeur | periodicite | semestrielle 2 3" xfId="972" xr:uid="{00000000-0005-0000-0000-00006A030000}"/>
    <cellStyle name="classeur | periodicite | semestrielle 3" xfId="973" xr:uid="{00000000-0005-0000-0000-00006B030000}"/>
    <cellStyle name="classeur | periodicite | semestrielle 3 2" xfId="974" xr:uid="{00000000-0005-0000-0000-00006C030000}"/>
    <cellStyle name="classeur | periodicite | semestrielle 3 3" xfId="975" xr:uid="{00000000-0005-0000-0000-00006D030000}"/>
    <cellStyle name="classeur | periodicite | semestrielle 4" xfId="976" xr:uid="{00000000-0005-0000-0000-00006E030000}"/>
    <cellStyle name="classeur | periodicite | semestrielle 4 2" xfId="977" xr:uid="{00000000-0005-0000-0000-00006F030000}"/>
    <cellStyle name="classeur | periodicite | semestrielle 4 3" xfId="978" xr:uid="{00000000-0005-0000-0000-000070030000}"/>
    <cellStyle name="classeur | periodicite | semestrielle 5" xfId="979" xr:uid="{00000000-0005-0000-0000-000071030000}"/>
    <cellStyle name="classeur | periodicite | semestrielle 6" xfId="980" xr:uid="{00000000-0005-0000-0000-000072030000}"/>
    <cellStyle name="classeur | periodicite | trimestrielle" xfId="981" xr:uid="{00000000-0005-0000-0000-000073030000}"/>
    <cellStyle name="classeur | periodicite | trimestrielle 2" xfId="982" xr:uid="{00000000-0005-0000-0000-000074030000}"/>
    <cellStyle name="classeur | periodicite | trimestrielle 2 2" xfId="983" xr:uid="{00000000-0005-0000-0000-000075030000}"/>
    <cellStyle name="classeur | periodicite | trimestrielle 2 2 2" xfId="984" xr:uid="{00000000-0005-0000-0000-000076030000}"/>
    <cellStyle name="classeur | periodicite | trimestrielle 2 2 3" xfId="985" xr:uid="{00000000-0005-0000-0000-000077030000}"/>
    <cellStyle name="classeur | periodicite | trimestrielle 2 3" xfId="986" xr:uid="{00000000-0005-0000-0000-000078030000}"/>
    <cellStyle name="classeur | periodicite | trimestrielle 2 4" xfId="987" xr:uid="{00000000-0005-0000-0000-000079030000}"/>
    <cellStyle name="classeur | periodicite | trimestrielle 3" xfId="988" xr:uid="{00000000-0005-0000-0000-00007A030000}"/>
    <cellStyle name="classeur | periodicite | trimestrielle 3 2" xfId="989" xr:uid="{00000000-0005-0000-0000-00007B030000}"/>
    <cellStyle name="classeur | periodicite | trimestrielle 3 3" xfId="990" xr:uid="{00000000-0005-0000-0000-00007C030000}"/>
    <cellStyle name="classeur | periodicite | trimestrielle 4" xfId="991" xr:uid="{00000000-0005-0000-0000-00007D030000}"/>
    <cellStyle name="classeur | periodicite | trimestrielle 4 2" xfId="992" xr:uid="{00000000-0005-0000-0000-00007E030000}"/>
    <cellStyle name="classeur | periodicite | trimestrielle 4 3" xfId="993" xr:uid="{00000000-0005-0000-0000-00007F030000}"/>
    <cellStyle name="classeur | periodicite | trimestrielle 5" xfId="994" xr:uid="{00000000-0005-0000-0000-000080030000}"/>
    <cellStyle name="classeur | periodicite | trimestrielle 5 2" xfId="995" xr:uid="{00000000-0005-0000-0000-000081030000}"/>
    <cellStyle name="classeur | periodicite | trimestrielle 5 3" xfId="996" xr:uid="{00000000-0005-0000-0000-000082030000}"/>
    <cellStyle name="classeur | periodicite | trimestrielle 6" xfId="997" xr:uid="{00000000-0005-0000-0000-000083030000}"/>
    <cellStyle name="classeur | periodicite | trimestrielle 7" xfId="998" xr:uid="{00000000-0005-0000-0000-000084030000}"/>
    <cellStyle name="classeur | reference | aucune" xfId="999" xr:uid="{00000000-0005-0000-0000-000085030000}"/>
    <cellStyle name="classeur | reference | aucune 2" xfId="1000" xr:uid="{00000000-0005-0000-0000-000086030000}"/>
    <cellStyle name="classeur | reference | aucune 2 2" xfId="1001" xr:uid="{00000000-0005-0000-0000-000087030000}"/>
    <cellStyle name="classeur | reference | aucune 2 2 2" xfId="1002" xr:uid="{00000000-0005-0000-0000-000088030000}"/>
    <cellStyle name="classeur | reference | aucune 2 2 3" xfId="1003" xr:uid="{00000000-0005-0000-0000-000089030000}"/>
    <cellStyle name="classeur | reference | aucune 2 3" xfId="1004" xr:uid="{00000000-0005-0000-0000-00008A030000}"/>
    <cellStyle name="classeur | reference | aucune 2 4" xfId="1005" xr:uid="{00000000-0005-0000-0000-00008B030000}"/>
    <cellStyle name="classeur | reference | aucune 3" xfId="1006" xr:uid="{00000000-0005-0000-0000-00008C030000}"/>
    <cellStyle name="classeur | reference | aucune 3 2" xfId="1007" xr:uid="{00000000-0005-0000-0000-00008D030000}"/>
    <cellStyle name="classeur | reference | aucune 3 3" xfId="1008" xr:uid="{00000000-0005-0000-0000-00008E030000}"/>
    <cellStyle name="classeur | reference | aucune 4" xfId="1009" xr:uid="{00000000-0005-0000-0000-00008F030000}"/>
    <cellStyle name="classeur | reference | aucune 4 2" xfId="1010" xr:uid="{00000000-0005-0000-0000-000090030000}"/>
    <cellStyle name="classeur | reference | aucune 4 3" xfId="1011" xr:uid="{00000000-0005-0000-0000-000091030000}"/>
    <cellStyle name="classeur | reference | aucune 5" xfId="1012" xr:uid="{00000000-0005-0000-0000-000092030000}"/>
    <cellStyle name="classeur | reference | aucune 5 2" xfId="1013" xr:uid="{00000000-0005-0000-0000-000093030000}"/>
    <cellStyle name="classeur | reference | aucune 5 3" xfId="1014" xr:uid="{00000000-0005-0000-0000-000094030000}"/>
    <cellStyle name="classeur | reference | aucune 6" xfId="1015" xr:uid="{00000000-0005-0000-0000-000095030000}"/>
    <cellStyle name="classeur | reference | aucune 7" xfId="1016" xr:uid="{00000000-0005-0000-0000-000096030000}"/>
    <cellStyle name="classeur | reference | tabl-series compose" xfId="1017" xr:uid="{00000000-0005-0000-0000-000097030000}"/>
    <cellStyle name="classeur | reference | tabl-series compose 2" xfId="1018" xr:uid="{00000000-0005-0000-0000-000098030000}"/>
    <cellStyle name="classeur | reference | tabl-series compose 2 2" xfId="1019" xr:uid="{00000000-0005-0000-0000-000099030000}"/>
    <cellStyle name="classeur | reference | tabl-series compose 2 2 2" xfId="1020" xr:uid="{00000000-0005-0000-0000-00009A030000}"/>
    <cellStyle name="classeur | reference | tabl-series compose 2 2 3" xfId="1021" xr:uid="{00000000-0005-0000-0000-00009B030000}"/>
    <cellStyle name="classeur | reference | tabl-series compose 2 3" xfId="1022" xr:uid="{00000000-0005-0000-0000-00009C030000}"/>
    <cellStyle name="classeur | reference | tabl-series compose 2 4" xfId="1023" xr:uid="{00000000-0005-0000-0000-00009D030000}"/>
    <cellStyle name="classeur | reference | tabl-series compose 3" xfId="1024" xr:uid="{00000000-0005-0000-0000-00009E030000}"/>
    <cellStyle name="classeur | reference | tabl-series compose 3 2" xfId="1025" xr:uid="{00000000-0005-0000-0000-00009F030000}"/>
    <cellStyle name="classeur | reference | tabl-series compose 3 3" xfId="1026" xr:uid="{00000000-0005-0000-0000-0000A0030000}"/>
    <cellStyle name="classeur | reference | tabl-series compose 4" xfId="1027" xr:uid="{00000000-0005-0000-0000-0000A1030000}"/>
    <cellStyle name="classeur | reference | tabl-series compose 4 2" xfId="1028" xr:uid="{00000000-0005-0000-0000-0000A2030000}"/>
    <cellStyle name="classeur | reference | tabl-series compose 4 3" xfId="1029" xr:uid="{00000000-0005-0000-0000-0000A3030000}"/>
    <cellStyle name="classeur | reference | tabl-series compose 5" xfId="1030" xr:uid="{00000000-0005-0000-0000-0000A4030000}"/>
    <cellStyle name="classeur | reference | tabl-series compose 5 2" xfId="1031" xr:uid="{00000000-0005-0000-0000-0000A5030000}"/>
    <cellStyle name="classeur | reference | tabl-series compose 5 3" xfId="1032" xr:uid="{00000000-0005-0000-0000-0000A6030000}"/>
    <cellStyle name="classeur | reference | tabl-series compose 6" xfId="1033" xr:uid="{00000000-0005-0000-0000-0000A7030000}"/>
    <cellStyle name="classeur | reference | tabl-series compose 7" xfId="1034" xr:uid="{00000000-0005-0000-0000-0000A8030000}"/>
    <cellStyle name="classeur | reference | tabl-series simple (particulier)" xfId="1035" xr:uid="{00000000-0005-0000-0000-0000A9030000}"/>
    <cellStyle name="classeur | reference | tabl-series simple (particulier) 2" xfId="1036" xr:uid="{00000000-0005-0000-0000-0000AA030000}"/>
    <cellStyle name="classeur | reference | tabl-series simple (particulier) 2 2" xfId="1037" xr:uid="{00000000-0005-0000-0000-0000AB030000}"/>
    <cellStyle name="classeur | reference | tabl-series simple (particulier) 2 2 2" xfId="1038" xr:uid="{00000000-0005-0000-0000-0000AC030000}"/>
    <cellStyle name="classeur | reference | tabl-series simple (particulier) 2 2 3" xfId="1039" xr:uid="{00000000-0005-0000-0000-0000AD030000}"/>
    <cellStyle name="classeur | reference | tabl-series simple (particulier) 2 3" xfId="1040" xr:uid="{00000000-0005-0000-0000-0000AE030000}"/>
    <cellStyle name="classeur | reference | tabl-series simple (particulier) 2 4" xfId="1041" xr:uid="{00000000-0005-0000-0000-0000AF030000}"/>
    <cellStyle name="classeur | reference | tabl-series simple (particulier) 3" xfId="1042" xr:uid="{00000000-0005-0000-0000-0000B0030000}"/>
    <cellStyle name="classeur | reference | tabl-series simple (particulier) 3 2" xfId="1043" xr:uid="{00000000-0005-0000-0000-0000B1030000}"/>
    <cellStyle name="classeur | reference | tabl-series simple (particulier) 3 3" xfId="1044" xr:uid="{00000000-0005-0000-0000-0000B2030000}"/>
    <cellStyle name="classeur | reference | tabl-series simple (particulier) 4" xfId="1045" xr:uid="{00000000-0005-0000-0000-0000B3030000}"/>
    <cellStyle name="classeur | reference | tabl-series simple (particulier) 5" xfId="1046" xr:uid="{00000000-0005-0000-0000-0000B4030000}"/>
    <cellStyle name="classeur | reference | tabl-series simple (standard)" xfId="1047" xr:uid="{00000000-0005-0000-0000-0000B5030000}"/>
    <cellStyle name="classeur | reference | tabl-series simple (standard) 2" xfId="1048" xr:uid="{00000000-0005-0000-0000-0000B6030000}"/>
    <cellStyle name="classeur | reference | tabl-series simple (standard) 2 2" xfId="1049" xr:uid="{00000000-0005-0000-0000-0000B7030000}"/>
    <cellStyle name="classeur | reference | tabl-series simple (standard) 2 2 2" xfId="1050" xr:uid="{00000000-0005-0000-0000-0000B8030000}"/>
    <cellStyle name="classeur | reference | tabl-series simple (standard) 2 2 3" xfId="1051" xr:uid="{00000000-0005-0000-0000-0000B9030000}"/>
    <cellStyle name="classeur | reference | tabl-series simple (standard) 2 3" xfId="1052" xr:uid="{00000000-0005-0000-0000-0000BA030000}"/>
    <cellStyle name="classeur | reference | tabl-series simple (standard) 2 4" xfId="1053" xr:uid="{00000000-0005-0000-0000-0000BB030000}"/>
    <cellStyle name="classeur | reference | tabl-series simple (standard) 3" xfId="1054" xr:uid="{00000000-0005-0000-0000-0000BC030000}"/>
    <cellStyle name="classeur | reference | tabl-series simple (standard) 3 2" xfId="1055" xr:uid="{00000000-0005-0000-0000-0000BD030000}"/>
    <cellStyle name="classeur | reference | tabl-series simple (standard) 3 3" xfId="1056" xr:uid="{00000000-0005-0000-0000-0000BE030000}"/>
    <cellStyle name="classeur | reference | tabl-series simple (standard) 4" xfId="1057" xr:uid="{00000000-0005-0000-0000-0000BF030000}"/>
    <cellStyle name="classeur | reference | tabl-series simple (standard) 4 2" xfId="1058" xr:uid="{00000000-0005-0000-0000-0000C0030000}"/>
    <cellStyle name="classeur | reference | tabl-series simple (standard) 4 3" xfId="1059" xr:uid="{00000000-0005-0000-0000-0000C1030000}"/>
    <cellStyle name="classeur | reference | tabl-series simple (standard) 5" xfId="1060" xr:uid="{00000000-0005-0000-0000-0000C2030000}"/>
    <cellStyle name="classeur | reference | tabl-series simple (standard) 5 2" xfId="1061" xr:uid="{00000000-0005-0000-0000-0000C3030000}"/>
    <cellStyle name="classeur | reference | tabl-series simple (standard) 5 3" xfId="1062" xr:uid="{00000000-0005-0000-0000-0000C4030000}"/>
    <cellStyle name="classeur | reference | tabl-series simple (standard) 6" xfId="1063" xr:uid="{00000000-0005-0000-0000-0000C5030000}"/>
    <cellStyle name="classeur | reference | tabl-series simple (standard) 7" xfId="1064" xr:uid="{00000000-0005-0000-0000-0000C6030000}"/>
    <cellStyle name="classeur | reference | tabl-structure (particulier)" xfId="1065" xr:uid="{00000000-0005-0000-0000-0000C7030000}"/>
    <cellStyle name="classeur | reference | tabl-structure (particulier) 2" xfId="1066" xr:uid="{00000000-0005-0000-0000-0000C8030000}"/>
    <cellStyle name="classeur | reference | tabl-structure (particulier) 2 2" xfId="1067" xr:uid="{00000000-0005-0000-0000-0000C9030000}"/>
    <cellStyle name="classeur | reference | tabl-structure (particulier) 2 3" xfId="1068" xr:uid="{00000000-0005-0000-0000-0000CA030000}"/>
    <cellStyle name="classeur | reference | tabl-structure (particulier) 3" xfId="1069" xr:uid="{00000000-0005-0000-0000-0000CB030000}"/>
    <cellStyle name="classeur | reference | tabl-structure (particulier) 3 2" xfId="1070" xr:uid="{00000000-0005-0000-0000-0000CC030000}"/>
    <cellStyle name="classeur | reference | tabl-structure (particulier) 3 3" xfId="1071" xr:uid="{00000000-0005-0000-0000-0000CD030000}"/>
    <cellStyle name="classeur | reference | tabl-structure (particulier) 4" xfId="1072" xr:uid="{00000000-0005-0000-0000-0000CE030000}"/>
    <cellStyle name="classeur | reference | tabl-structure (particulier) 4 2" xfId="1073" xr:uid="{00000000-0005-0000-0000-0000CF030000}"/>
    <cellStyle name="classeur | reference | tabl-structure (particulier) 4 3" xfId="1074" xr:uid="{00000000-0005-0000-0000-0000D0030000}"/>
    <cellStyle name="classeur | reference | tabl-structure (particulier) 5" xfId="1075" xr:uid="{00000000-0005-0000-0000-0000D1030000}"/>
    <cellStyle name="classeur | reference | tabl-structure (particulier) 6" xfId="1076" xr:uid="{00000000-0005-0000-0000-0000D2030000}"/>
    <cellStyle name="classeur | reference | tabl-structure (standard)" xfId="1077" xr:uid="{00000000-0005-0000-0000-0000D3030000}"/>
    <cellStyle name="classeur | reference | tabl-structure (standard) 2" xfId="1078" xr:uid="{00000000-0005-0000-0000-0000D4030000}"/>
    <cellStyle name="classeur | reference | tabl-structure (standard) 2 2" xfId="1079" xr:uid="{00000000-0005-0000-0000-0000D5030000}"/>
    <cellStyle name="classeur | reference | tabl-structure (standard) 2 3" xfId="1080" xr:uid="{00000000-0005-0000-0000-0000D6030000}"/>
    <cellStyle name="classeur | reference | tabl-structure (standard) 3" xfId="1081" xr:uid="{00000000-0005-0000-0000-0000D7030000}"/>
    <cellStyle name="classeur | reference | tabl-structure (standard) 3 2" xfId="1082" xr:uid="{00000000-0005-0000-0000-0000D8030000}"/>
    <cellStyle name="classeur | reference | tabl-structure (standard) 3 3" xfId="1083" xr:uid="{00000000-0005-0000-0000-0000D9030000}"/>
    <cellStyle name="classeur | reference | tabl-structure (standard) 4" xfId="1084" xr:uid="{00000000-0005-0000-0000-0000DA030000}"/>
    <cellStyle name="classeur | reference | tabl-structure (standard) 4 2" xfId="1085" xr:uid="{00000000-0005-0000-0000-0000DB030000}"/>
    <cellStyle name="classeur | reference | tabl-structure (standard) 4 3" xfId="1086" xr:uid="{00000000-0005-0000-0000-0000DC030000}"/>
    <cellStyle name="classeur | reference | tabl-structure (standard) 5" xfId="1087" xr:uid="{00000000-0005-0000-0000-0000DD030000}"/>
    <cellStyle name="classeur | reference | tabl-structure (standard) 5 2" xfId="1088" xr:uid="{00000000-0005-0000-0000-0000DE030000}"/>
    <cellStyle name="classeur | reference | tabl-structure (standard) 5 3" xfId="1089" xr:uid="{00000000-0005-0000-0000-0000DF030000}"/>
    <cellStyle name="classeur | reference | tabl-structure (standard) 6" xfId="1090" xr:uid="{00000000-0005-0000-0000-0000E0030000}"/>
    <cellStyle name="classeur | reference | tabl-structure (standard) 7" xfId="1091" xr:uid="{00000000-0005-0000-0000-0000E1030000}"/>
    <cellStyle name="classeur | theme | intitule" xfId="1092" xr:uid="{00000000-0005-0000-0000-0000E2030000}"/>
    <cellStyle name="classeur | theme | intitule 2" xfId="1093" xr:uid="{00000000-0005-0000-0000-0000E3030000}"/>
    <cellStyle name="classeur | theme | intitule 2 2" xfId="1094" xr:uid="{00000000-0005-0000-0000-0000E4030000}"/>
    <cellStyle name="classeur | theme | intitule 2 3" xfId="1095" xr:uid="{00000000-0005-0000-0000-0000E5030000}"/>
    <cellStyle name="classeur | theme | intitule 3" xfId="1096" xr:uid="{00000000-0005-0000-0000-0000E6030000}"/>
    <cellStyle name="classeur | theme | intitule 3 2" xfId="1097" xr:uid="{00000000-0005-0000-0000-0000E7030000}"/>
    <cellStyle name="classeur | theme | intitule 3 3" xfId="1098" xr:uid="{00000000-0005-0000-0000-0000E8030000}"/>
    <cellStyle name="classeur | theme | intitule 4" xfId="1099" xr:uid="{00000000-0005-0000-0000-0000E9030000}"/>
    <cellStyle name="classeur | theme | intitule 4 2" xfId="1100" xr:uid="{00000000-0005-0000-0000-0000EA030000}"/>
    <cellStyle name="classeur | theme | intitule 4 3" xfId="1101" xr:uid="{00000000-0005-0000-0000-0000EB030000}"/>
    <cellStyle name="classeur | theme | intitule 5" xfId="1102" xr:uid="{00000000-0005-0000-0000-0000EC030000}"/>
    <cellStyle name="classeur | theme | intitule 5 2" xfId="1103" xr:uid="{00000000-0005-0000-0000-0000ED030000}"/>
    <cellStyle name="classeur | theme | intitule 5 3" xfId="1104" xr:uid="{00000000-0005-0000-0000-0000EE030000}"/>
    <cellStyle name="classeur | theme | intitule 6" xfId="1105" xr:uid="{00000000-0005-0000-0000-0000EF030000}"/>
    <cellStyle name="classeur | theme | intitule 7" xfId="1106" xr:uid="{00000000-0005-0000-0000-0000F0030000}"/>
    <cellStyle name="classeur | theme | notice explicative" xfId="1107" xr:uid="{00000000-0005-0000-0000-0000F1030000}"/>
    <cellStyle name="classeur | theme | notice explicative 2" xfId="1108" xr:uid="{00000000-0005-0000-0000-0000F2030000}"/>
    <cellStyle name="classeur | theme | notice explicative 2 2" xfId="1109" xr:uid="{00000000-0005-0000-0000-0000F3030000}"/>
    <cellStyle name="classeur | theme | notice explicative 2 2 2" xfId="1110" xr:uid="{00000000-0005-0000-0000-0000F4030000}"/>
    <cellStyle name="classeur | theme | notice explicative 2 2 3" xfId="1111" xr:uid="{00000000-0005-0000-0000-0000F5030000}"/>
    <cellStyle name="classeur | theme | notice explicative 2 3" xfId="1112" xr:uid="{00000000-0005-0000-0000-0000F6030000}"/>
    <cellStyle name="classeur | theme | notice explicative 2 4" xfId="1113" xr:uid="{00000000-0005-0000-0000-0000F7030000}"/>
    <cellStyle name="classeur | theme | notice explicative 3" xfId="1114" xr:uid="{00000000-0005-0000-0000-0000F8030000}"/>
    <cellStyle name="classeur | theme | notice explicative 3 2" xfId="1115" xr:uid="{00000000-0005-0000-0000-0000F9030000}"/>
    <cellStyle name="classeur | theme | notice explicative 3 3" xfId="1116" xr:uid="{00000000-0005-0000-0000-0000FA030000}"/>
    <cellStyle name="classeur | theme | notice explicative 4" xfId="1117" xr:uid="{00000000-0005-0000-0000-0000FB030000}"/>
    <cellStyle name="classeur | theme | notice explicative 4 2" xfId="1118" xr:uid="{00000000-0005-0000-0000-0000FC030000}"/>
    <cellStyle name="classeur | theme | notice explicative 4 3" xfId="1119" xr:uid="{00000000-0005-0000-0000-0000FD030000}"/>
    <cellStyle name="classeur | theme | notice explicative 5" xfId="1120" xr:uid="{00000000-0005-0000-0000-0000FE030000}"/>
    <cellStyle name="classeur | theme | notice explicative 6" xfId="1121" xr:uid="{00000000-0005-0000-0000-0000FF030000}"/>
    <cellStyle name="classeur | titre | niveau 1" xfId="1122" xr:uid="{00000000-0005-0000-0000-000000040000}"/>
    <cellStyle name="classeur | titre | niveau 1 2" xfId="1123" xr:uid="{00000000-0005-0000-0000-000001040000}"/>
    <cellStyle name="classeur | titre | niveau 1 2 2" xfId="1124" xr:uid="{00000000-0005-0000-0000-000002040000}"/>
    <cellStyle name="classeur | titre | niveau 1 2 3" xfId="1125" xr:uid="{00000000-0005-0000-0000-000003040000}"/>
    <cellStyle name="classeur | titre | niveau 1 3" xfId="1126" xr:uid="{00000000-0005-0000-0000-000004040000}"/>
    <cellStyle name="classeur | titre | niveau 1 3 2" xfId="1127" xr:uid="{00000000-0005-0000-0000-000005040000}"/>
    <cellStyle name="classeur | titre | niveau 1 3 3" xfId="1128" xr:uid="{00000000-0005-0000-0000-000006040000}"/>
    <cellStyle name="classeur | titre | niveau 1 4" xfId="1129" xr:uid="{00000000-0005-0000-0000-000007040000}"/>
    <cellStyle name="classeur | titre | niveau 1 4 2" xfId="1130" xr:uid="{00000000-0005-0000-0000-000008040000}"/>
    <cellStyle name="classeur | titre | niveau 1 4 3" xfId="1131" xr:uid="{00000000-0005-0000-0000-000009040000}"/>
    <cellStyle name="classeur | titre | niveau 1 5" xfId="1132" xr:uid="{00000000-0005-0000-0000-00000A040000}"/>
    <cellStyle name="classeur | titre | niveau 1 5 2" xfId="1133" xr:uid="{00000000-0005-0000-0000-00000B040000}"/>
    <cellStyle name="classeur | titre | niveau 1 5 3" xfId="1134" xr:uid="{00000000-0005-0000-0000-00000C040000}"/>
    <cellStyle name="classeur | titre | niveau 1 6" xfId="1135" xr:uid="{00000000-0005-0000-0000-00000D040000}"/>
    <cellStyle name="classeur | titre | niveau 1 7" xfId="1136" xr:uid="{00000000-0005-0000-0000-00000E040000}"/>
    <cellStyle name="classeur | titre | niveau 2" xfId="1137" xr:uid="{00000000-0005-0000-0000-00000F040000}"/>
    <cellStyle name="classeur | titre | niveau 2 2" xfId="1138" xr:uid="{00000000-0005-0000-0000-000010040000}"/>
    <cellStyle name="classeur | titre | niveau 2 2 2" xfId="1139" xr:uid="{00000000-0005-0000-0000-000011040000}"/>
    <cellStyle name="classeur | titre | niveau 2 2 3" xfId="1140" xr:uid="{00000000-0005-0000-0000-000012040000}"/>
    <cellStyle name="classeur | titre | niveau 2 3" xfId="1141" xr:uid="{00000000-0005-0000-0000-000013040000}"/>
    <cellStyle name="classeur | titre | niveau 2 3 2" xfId="1142" xr:uid="{00000000-0005-0000-0000-000014040000}"/>
    <cellStyle name="classeur | titre | niveau 2 3 3" xfId="1143" xr:uid="{00000000-0005-0000-0000-000015040000}"/>
    <cellStyle name="classeur | titre | niveau 2 4" xfId="1144" xr:uid="{00000000-0005-0000-0000-000016040000}"/>
    <cellStyle name="classeur | titre | niveau 2 4 2" xfId="1145" xr:uid="{00000000-0005-0000-0000-000017040000}"/>
    <cellStyle name="classeur | titre | niveau 2 4 3" xfId="1146" xr:uid="{00000000-0005-0000-0000-000018040000}"/>
    <cellStyle name="classeur | titre | niveau 2 5" xfId="1147" xr:uid="{00000000-0005-0000-0000-000019040000}"/>
    <cellStyle name="classeur | titre | niveau 2 6" xfId="1148" xr:uid="{00000000-0005-0000-0000-00001A040000}"/>
    <cellStyle name="classeur | titre | niveau 3" xfId="1149" xr:uid="{00000000-0005-0000-0000-00001B040000}"/>
    <cellStyle name="classeur | titre | niveau 3 2" xfId="1150" xr:uid="{00000000-0005-0000-0000-00001C040000}"/>
    <cellStyle name="classeur | titre | niveau 3 2 2" xfId="1151" xr:uid="{00000000-0005-0000-0000-00001D040000}"/>
    <cellStyle name="classeur | titre | niveau 3 2 3" xfId="1152" xr:uid="{00000000-0005-0000-0000-00001E040000}"/>
    <cellStyle name="classeur | titre | niveau 3 3" xfId="1153" xr:uid="{00000000-0005-0000-0000-00001F040000}"/>
    <cellStyle name="classeur | titre | niveau 3 3 2" xfId="1154" xr:uid="{00000000-0005-0000-0000-000020040000}"/>
    <cellStyle name="classeur | titre | niveau 3 3 3" xfId="1155" xr:uid="{00000000-0005-0000-0000-000021040000}"/>
    <cellStyle name="classeur | titre | niveau 3 4" xfId="1156" xr:uid="{00000000-0005-0000-0000-000022040000}"/>
    <cellStyle name="classeur | titre | niveau 3 5" xfId="1157" xr:uid="{00000000-0005-0000-0000-000023040000}"/>
    <cellStyle name="classeur | titre | niveau 4" xfId="1158" xr:uid="{00000000-0005-0000-0000-000024040000}"/>
    <cellStyle name="classeur | titre | niveau 4 2" xfId="1159" xr:uid="{00000000-0005-0000-0000-000025040000}"/>
    <cellStyle name="classeur | titre | niveau 4 2 2" xfId="1160" xr:uid="{00000000-0005-0000-0000-000026040000}"/>
    <cellStyle name="classeur | titre | niveau 4 2 3" xfId="1161" xr:uid="{00000000-0005-0000-0000-000027040000}"/>
    <cellStyle name="classeur | titre | niveau 4 3" xfId="1162" xr:uid="{00000000-0005-0000-0000-000028040000}"/>
    <cellStyle name="classeur | titre | niveau 4 3 2" xfId="1163" xr:uid="{00000000-0005-0000-0000-000029040000}"/>
    <cellStyle name="classeur | titre | niveau 4 3 3" xfId="1164" xr:uid="{00000000-0005-0000-0000-00002A040000}"/>
    <cellStyle name="classeur | titre | niveau 4 4" xfId="1165" xr:uid="{00000000-0005-0000-0000-00002B040000}"/>
    <cellStyle name="classeur | titre | niveau 4 4 2" xfId="1166" xr:uid="{00000000-0005-0000-0000-00002C040000}"/>
    <cellStyle name="classeur | titre | niveau 4 4 3" xfId="1167" xr:uid="{00000000-0005-0000-0000-00002D040000}"/>
    <cellStyle name="classeur | titre | niveau 4 5" xfId="1168" xr:uid="{00000000-0005-0000-0000-00002E040000}"/>
    <cellStyle name="classeur | titre | niveau 4 5 2" xfId="1169" xr:uid="{00000000-0005-0000-0000-00002F040000}"/>
    <cellStyle name="classeur | titre | niveau 4 5 3" xfId="1170" xr:uid="{00000000-0005-0000-0000-000030040000}"/>
    <cellStyle name="classeur | titre | niveau 4 6" xfId="1171" xr:uid="{00000000-0005-0000-0000-000031040000}"/>
    <cellStyle name="classeur | titre | niveau 4 7" xfId="1172" xr:uid="{00000000-0005-0000-0000-000032040000}"/>
    <cellStyle name="classeur | titre | niveau 5" xfId="1173" xr:uid="{00000000-0005-0000-0000-000033040000}"/>
    <cellStyle name="classeur | titre | niveau 5 2" xfId="1174" xr:uid="{00000000-0005-0000-0000-000034040000}"/>
    <cellStyle name="classeur | titre | niveau 5 2 2" xfId="1175" xr:uid="{00000000-0005-0000-0000-000035040000}"/>
    <cellStyle name="classeur | titre | niveau 5 2 3" xfId="1176" xr:uid="{00000000-0005-0000-0000-000036040000}"/>
    <cellStyle name="classeur | titre | niveau 5 3" xfId="1177" xr:uid="{00000000-0005-0000-0000-000037040000}"/>
    <cellStyle name="classeur | titre | niveau 5 3 2" xfId="1178" xr:uid="{00000000-0005-0000-0000-000038040000}"/>
    <cellStyle name="classeur | titre | niveau 5 3 3" xfId="1179" xr:uid="{00000000-0005-0000-0000-000039040000}"/>
    <cellStyle name="classeur | titre | niveau 5 4" xfId="1180" xr:uid="{00000000-0005-0000-0000-00003A040000}"/>
    <cellStyle name="classeur | titre | niveau 5 5" xfId="1181" xr:uid="{00000000-0005-0000-0000-00003B040000}"/>
    <cellStyle name="coin" xfId="1182" xr:uid="{00000000-0005-0000-0000-00003C040000}"/>
    <cellStyle name="coin 2" xfId="1183" xr:uid="{00000000-0005-0000-0000-00003D040000}"/>
    <cellStyle name="coin 2 2" xfId="1184" xr:uid="{00000000-0005-0000-0000-00003E040000}"/>
    <cellStyle name="coin 2 3" xfId="1185" xr:uid="{00000000-0005-0000-0000-00003F040000}"/>
    <cellStyle name="coin 3" xfId="1186" xr:uid="{00000000-0005-0000-0000-000040040000}"/>
    <cellStyle name="coin 3 2" xfId="1187" xr:uid="{00000000-0005-0000-0000-000041040000}"/>
    <cellStyle name="coin 3 3" xfId="1188" xr:uid="{00000000-0005-0000-0000-000042040000}"/>
    <cellStyle name="coin 4" xfId="1189" xr:uid="{00000000-0005-0000-0000-000043040000}"/>
    <cellStyle name="coin 5" xfId="1190" xr:uid="{00000000-0005-0000-0000-000044040000}"/>
    <cellStyle name="Colore 1" xfId="1191" xr:uid="{00000000-0005-0000-0000-000045040000}"/>
    <cellStyle name="Colore 1 2" xfId="1192" xr:uid="{00000000-0005-0000-0000-000046040000}"/>
    <cellStyle name="Colore 1 3" xfId="1193" xr:uid="{00000000-0005-0000-0000-000047040000}"/>
    <cellStyle name="Colore 2" xfId="1194" xr:uid="{00000000-0005-0000-0000-000048040000}"/>
    <cellStyle name="Colore 2 2" xfId="1195" xr:uid="{00000000-0005-0000-0000-000049040000}"/>
    <cellStyle name="Colore 2 3" xfId="1196" xr:uid="{00000000-0005-0000-0000-00004A040000}"/>
    <cellStyle name="Colore 3" xfId="1197" xr:uid="{00000000-0005-0000-0000-00004B040000}"/>
    <cellStyle name="Colore 3 2" xfId="1198" xr:uid="{00000000-0005-0000-0000-00004C040000}"/>
    <cellStyle name="Colore 3 3" xfId="1199" xr:uid="{00000000-0005-0000-0000-00004D040000}"/>
    <cellStyle name="Colore 4" xfId="1200" xr:uid="{00000000-0005-0000-0000-00004E040000}"/>
    <cellStyle name="Colore 4 2" xfId="1201" xr:uid="{00000000-0005-0000-0000-00004F040000}"/>
    <cellStyle name="Colore 4 3" xfId="1202" xr:uid="{00000000-0005-0000-0000-000050040000}"/>
    <cellStyle name="Colore 5" xfId="1203" xr:uid="{00000000-0005-0000-0000-000051040000}"/>
    <cellStyle name="Colore 5 2" xfId="1204" xr:uid="{00000000-0005-0000-0000-000052040000}"/>
    <cellStyle name="Colore 5 3" xfId="1205" xr:uid="{00000000-0005-0000-0000-000053040000}"/>
    <cellStyle name="Colore 6" xfId="1206" xr:uid="{00000000-0005-0000-0000-000054040000}"/>
    <cellStyle name="Colore 6 2" xfId="1207" xr:uid="{00000000-0005-0000-0000-000055040000}"/>
    <cellStyle name="Colore 6 3" xfId="1208" xr:uid="{00000000-0005-0000-0000-000056040000}"/>
    <cellStyle name="Comma [0]" xfId="1209" xr:uid="{00000000-0005-0000-0000-000057040000}"/>
    <cellStyle name="Comma [0] 2" xfId="1210" xr:uid="{00000000-0005-0000-0000-000058040000}"/>
    <cellStyle name="Comma [0] 2 2" xfId="1211" xr:uid="{00000000-0005-0000-0000-000059040000}"/>
    <cellStyle name="Comma [0] 2 2 2" xfId="1212" xr:uid="{00000000-0005-0000-0000-00005A040000}"/>
    <cellStyle name="Comma [0] 2 3" xfId="1213" xr:uid="{00000000-0005-0000-0000-00005B040000}"/>
    <cellStyle name="Comma [0] 2 3 2" xfId="1214" xr:uid="{00000000-0005-0000-0000-00005C040000}"/>
    <cellStyle name="Comma [0] 2 4" xfId="1215" xr:uid="{00000000-0005-0000-0000-00005D040000}"/>
    <cellStyle name="Comma [0] 2 4 2" xfId="1216" xr:uid="{00000000-0005-0000-0000-00005E040000}"/>
    <cellStyle name="Comma [0] 2 5" xfId="1217" xr:uid="{00000000-0005-0000-0000-00005F040000}"/>
    <cellStyle name="Comma [0] 3" xfId="1218" xr:uid="{00000000-0005-0000-0000-000060040000}"/>
    <cellStyle name="Comma [0] 3 2" xfId="1219" xr:uid="{00000000-0005-0000-0000-000061040000}"/>
    <cellStyle name="Comma [0] 4" xfId="1220" xr:uid="{00000000-0005-0000-0000-000062040000}"/>
    <cellStyle name="Comma [0] 4 2" xfId="1221" xr:uid="{00000000-0005-0000-0000-000063040000}"/>
    <cellStyle name="Comma [0] 5" xfId="1222" xr:uid="{00000000-0005-0000-0000-000064040000}"/>
    <cellStyle name="Comma [0] 5 2" xfId="1223" xr:uid="{00000000-0005-0000-0000-000065040000}"/>
    <cellStyle name="Comma [0] 6" xfId="1224" xr:uid="{00000000-0005-0000-0000-000066040000}"/>
    <cellStyle name="Comma 2" xfId="1225" xr:uid="{00000000-0005-0000-0000-000067040000}"/>
    <cellStyle name="Comma 2 2" xfId="1226" xr:uid="{00000000-0005-0000-0000-000068040000}"/>
    <cellStyle name="Comma 2 3" xfId="1227" xr:uid="{00000000-0005-0000-0000-000069040000}"/>
    <cellStyle name="Commentaire 2" xfId="68" xr:uid="{00000000-0005-0000-0000-00006A040000}"/>
    <cellStyle name="Commentaire 2 2" xfId="98" xr:uid="{00000000-0005-0000-0000-00006B040000}"/>
    <cellStyle name="Commentaire 2 2 2" xfId="146" xr:uid="{00000000-0005-0000-0000-00006C040000}"/>
    <cellStyle name="Commentaire 2 2 3" xfId="1229" xr:uid="{00000000-0005-0000-0000-00006D040000}"/>
    <cellStyle name="Commentaire 2 3" xfId="125" xr:uid="{00000000-0005-0000-0000-00006E040000}"/>
    <cellStyle name="Commentaire 2 3 2" xfId="1230" xr:uid="{00000000-0005-0000-0000-00006F040000}"/>
    <cellStyle name="Commentaire 2 4" xfId="1228" xr:uid="{00000000-0005-0000-0000-000070040000}"/>
    <cellStyle name="Currency [0]" xfId="1231" xr:uid="{00000000-0005-0000-0000-000071040000}"/>
    <cellStyle name="Currency [0] 2" xfId="1232" xr:uid="{00000000-0005-0000-0000-000072040000}"/>
    <cellStyle name="Date" xfId="1233" xr:uid="{00000000-0005-0000-0000-000073040000}"/>
    <cellStyle name="Date 2" xfId="1234" xr:uid="{00000000-0005-0000-0000-000074040000}"/>
    <cellStyle name="Date 2 2" xfId="1235" xr:uid="{00000000-0005-0000-0000-000075040000}"/>
    <cellStyle name="Date 2 3" xfId="1236" xr:uid="{00000000-0005-0000-0000-000076040000}"/>
    <cellStyle name="Date 3" xfId="1237" xr:uid="{00000000-0005-0000-0000-000077040000}"/>
    <cellStyle name="Date 4" xfId="1238" xr:uid="{00000000-0005-0000-0000-000078040000}"/>
    <cellStyle name="debugage | texte note potentiel ?" xfId="1239" xr:uid="{00000000-0005-0000-0000-000079040000}"/>
    <cellStyle name="debugage | texte note potentiel ? 2" xfId="1240" xr:uid="{00000000-0005-0000-0000-00007A040000}"/>
    <cellStyle name="debugage | texte note potentiel ? 3" xfId="1241" xr:uid="{00000000-0005-0000-0000-00007B040000}"/>
    <cellStyle name="debugage | titre de niveau potentiel" xfId="1242" xr:uid="{00000000-0005-0000-0000-00007C040000}"/>
    <cellStyle name="debugage | titre de niveau potentiel 2" xfId="1243" xr:uid="{00000000-0005-0000-0000-00007D040000}"/>
    <cellStyle name="debugage | titre de niveau potentiel 3" xfId="1244" xr:uid="{00000000-0005-0000-0000-00007E040000}"/>
    <cellStyle name="donn_normal" xfId="1245" xr:uid="{00000000-0005-0000-0000-00007F040000}"/>
    <cellStyle name="donnnormal1" xfId="1246" xr:uid="{00000000-0005-0000-0000-000080040000}"/>
    <cellStyle name="donnnormal1 2" xfId="1247" xr:uid="{00000000-0005-0000-0000-000081040000}"/>
    <cellStyle name="donnnormal1 2 2" xfId="1248" xr:uid="{00000000-0005-0000-0000-000082040000}"/>
    <cellStyle name="donnnormal1 2 3" xfId="1249" xr:uid="{00000000-0005-0000-0000-000083040000}"/>
    <cellStyle name="donnnormal1 3" xfId="1250" xr:uid="{00000000-0005-0000-0000-000084040000}"/>
    <cellStyle name="donnnormal1 4" xfId="1251" xr:uid="{00000000-0005-0000-0000-000085040000}"/>
    <cellStyle name="donntotal1" xfId="1252" xr:uid="{00000000-0005-0000-0000-000086040000}"/>
    <cellStyle name="donntotal1 2" xfId="1253" xr:uid="{00000000-0005-0000-0000-000087040000}"/>
    <cellStyle name="donntotal1 2 2" xfId="1254" xr:uid="{00000000-0005-0000-0000-000088040000}"/>
    <cellStyle name="donntotal1 2 3" xfId="1255" xr:uid="{00000000-0005-0000-0000-000089040000}"/>
    <cellStyle name="donntotal1 3" xfId="1256" xr:uid="{00000000-0005-0000-0000-00008A040000}"/>
    <cellStyle name="donntotal1 4" xfId="1257" xr:uid="{00000000-0005-0000-0000-00008B040000}"/>
    <cellStyle name="Encabezado 4" xfId="1258" xr:uid="{00000000-0005-0000-0000-00008C040000}"/>
    <cellStyle name="Encabezado 4 2" xfId="1259" xr:uid="{00000000-0005-0000-0000-00008D040000}"/>
    <cellStyle name="Encabezado 4 3" xfId="1260" xr:uid="{00000000-0005-0000-0000-00008E040000}"/>
    <cellStyle name="Énfasis1" xfId="1261" xr:uid="{00000000-0005-0000-0000-00008F040000}"/>
    <cellStyle name="Énfasis1 2" xfId="1262" xr:uid="{00000000-0005-0000-0000-000090040000}"/>
    <cellStyle name="Énfasis1 3" xfId="1263" xr:uid="{00000000-0005-0000-0000-000091040000}"/>
    <cellStyle name="Énfasis2" xfId="1264" xr:uid="{00000000-0005-0000-0000-000092040000}"/>
    <cellStyle name="Énfasis2 2" xfId="1265" xr:uid="{00000000-0005-0000-0000-000093040000}"/>
    <cellStyle name="Énfasis2 3" xfId="1266" xr:uid="{00000000-0005-0000-0000-000094040000}"/>
    <cellStyle name="Énfasis3" xfId="1267" xr:uid="{00000000-0005-0000-0000-000095040000}"/>
    <cellStyle name="Énfasis3 2" xfId="1268" xr:uid="{00000000-0005-0000-0000-000096040000}"/>
    <cellStyle name="Énfasis3 3" xfId="1269" xr:uid="{00000000-0005-0000-0000-000097040000}"/>
    <cellStyle name="Énfasis4" xfId="1270" xr:uid="{00000000-0005-0000-0000-000098040000}"/>
    <cellStyle name="Énfasis4 2" xfId="1271" xr:uid="{00000000-0005-0000-0000-000099040000}"/>
    <cellStyle name="Énfasis4 3" xfId="1272" xr:uid="{00000000-0005-0000-0000-00009A040000}"/>
    <cellStyle name="Énfasis5" xfId="1273" xr:uid="{00000000-0005-0000-0000-00009B040000}"/>
    <cellStyle name="Énfasis5 2" xfId="1274" xr:uid="{00000000-0005-0000-0000-00009C040000}"/>
    <cellStyle name="Énfasis5 3" xfId="1275" xr:uid="{00000000-0005-0000-0000-00009D040000}"/>
    <cellStyle name="Énfasis6" xfId="1276" xr:uid="{00000000-0005-0000-0000-00009E040000}"/>
    <cellStyle name="Énfasis6 2" xfId="1277" xr:uid="{00000000-0005-0000-0000-00009F040000}"/>
    <cellStyle name="Énfasis6 3" xfId="1278" xr:uid="{00000000-0005-0000-0000-0000A0040000}"/>
    <cellStyle name="ent_col_ser" xfId="1279" xr:uid="{00000000-0005-0000-0000-0000A1040000}"/>
    <cellStyle name="En-tête" xfId="3530" xr:uid="{00000000-0005-0000-0000-0000A2040000}"/>
    <cellStyle name="En-tête 1" xfId="1280" xr:uid="{00000000-0005-0000-0000-0000A3040000}"/>
    <cellStyle name="En-tête 1 2" xfId="1281" xr:uid="{00000000-0005-0000-0000-0000A4040000}"/>
    <cellStyle name="En-tête 1 2 2" xfId="1282" xr:uid="{00000000-0005-0000-0000-0000A5040000}"/>
    <cellStyle name="En-tête 1 2 3" xfId="1283" xr:uid="{00000000-0005-0000-0000-0000A6040000}"/>
    <cellStyle name="En-tête 1 3" xfId="1284" xr:uid="{00000000-0005-0000-0000-0000A7040000}"/>
    <cellStyle name="En-tête 1 4" xfId="1285" xr:uid="{00000000-0005-0000-0000-0000A8040000}"/>
    <cellStyle name="En-tête 2" xfId="1286" xr:uid="{00000000-0005-0000-0000-0000A9040000}"/>
    <cellStyle name="En-tête 2 2" xfId="1287" xr:uid="{00000000-0005-0000-0000-0000AA040000}"/>
    <cellStyle name="En-tête 2 2 2" xfId="1288" xr:uid="{00000000-0005-0000-0000-0000AB040000}"/>
    <cellStyle name="En-tête 2 2 3" xfId="1289" xr:uid="{00000000-0005-0000-0000-0000AC040000}"/>
    <cellStyle name="En-tête 2 3" xfId="1290" xr:uid="{00000000-0005-0000-0000-0000AD040000}"/>
    <cellStyle name="En-tête 2 4" xfId="1291" xr:uid="{00000000-0005-0000-0000-0000AE040000}"/>
    <cellStyle name="entete_indice" xfId="1292" xr:uid="{00000000-0005-0000-0000-0000AF040000}"/>
    <cellStyle name="Entrada" xfId="1293" xr:uid="{00000000-0005-0000-0000-0000B0040000}"/>
    <cellStyle name="Entrada 2" xfId="1294" xr:uid="{00000000-0005-0000-0000-0000B1040000}"/>
    <cellStyle name="Entrada 3" xfId="1295" xr:uid="{00000000-0005-0000-0000-0000B2040000}"/>
    <cellStyle name="Entrée" xfId="8" builtinId="20" customBuiltin="1"/>
    <cellStyle name="Entrée 2" xfId="1296" xr:uid="{00000000-0005-0000-0000-0000B4040000}"/>
    <cellStyle name="Entrée 2 2" xfId="1297" xr:uid="{00000000-0005-0000-0000-0000B5040000}"/>
    <cellStyle name="Entrée 2 3" xfId="1298" xr:uid="{00000000-0005-0000-0000-0000B6040000}"/>
    <cellStyle name="Euro" xfId="1299" xr:uid="{00000000-0005-0000-0000-0000B7040000}"/>
    <cellStyle name="Euro 10" xfId="1300" xr:uid="{00000000-0005-0000-0000-0000B8040000}"/>
    <cellStyle name="Euro 10 2" xfId="1301" xr:uid="{00000000-0005-0000-0000-0000B9040000}"/>
    <cellStyle name="Euro 10 3" xfId="1302" xr:uid="{00000000-0005-0000-0000-0000BA040000}"/>
    <cellStyle name="Euro 10 3 2" xfId="1303" xr:uid="{00000000-0005-0000-0000-0000BB040000}"/>
    <cellStyle name="Euro 10 3 2 2" xfId="1304" xr:uid="{00000000-0005-0000-0000-0000BC040000}"/>
    <cellStyle name="Euro 10 3 3" xfId="1305" xr:uid="{00000000-0005-0000-0000-0000BD040000}"/>
    <cellStyle name="Euro 10 3 3 2" xfId="1306" xr:uid="{00000000-0005-0000-0000-0000BE040000}"/>
    <cellStyle name="Euro 10 3 4" xfId="1307" xr:uid="{00000000-0005-0000-0000-0000BF040000}"/>
    <cellStyle name="Euro 11" xfId="1308" xr:uid="{00000000-0005-0000-0000-0000C0040000}"/>
    <cellStyle name="Euro 12" xfId="1309" xr:uid="{00000000-0005-0000-0000-0000C1040000}"/>
    <cellStyle name="Euro 13" xfId="3531" xr:uid="{00000000-0005-0000-0000-0000C2040000}"/>
    <cellStyle name="Euro 2" xfId="1310" xr:uid="{00000000-0005-0000-0000-0000C3040000}"/>
    <cellStyle name="Euro 2 2" xfId="1311" xr:uid="{00000000-0005-0000-0000-0000C4040000}"/>
    <cellStyle name="Euro 2 2 2" xfId="1312" xr:uid="{00000000-0005-0000-0000-0000C5040000}"/>
    <cellStyle name="Euro 2 2 3" xfId="1313" xr:uid="{00000000-0005-0000-0000-0000C6040000}"/>
    <cellStyle name="Euro 2 3" xfId="1314" xr:uid="{00000000-0005-0000-0000-0000C7040000}"/>
    <cellStyle name="Euro 2 3 2" xfId="1315" xr:uid="{00000000-0005-0000-0000-0000C8040000}"/>
    <cellStyle name="Euro 2 3 3" xfId="1316" xr:uid="{00000000-0005-0000-0000-0000C9040000}"/>
    <cellStyle name="Euro 2 4" xfId="1317" xr:uid="{00000000-0005-0000-0000-0000CA040000}"/>
    <cellStyle name="Euro 2 4 2" xfId="1318" xr:uid="{00000000-0005-0000-0000-0000CB040000}"/>
    <cellStyle name="Euro 2 4 3" xfId="1319" xr:uid="{00000000-0005-0000-0000-0000CC040000}"/>
    <cellStyle name="Euro 2 5" xfId="1320" xr:uid="{00000000-0005-0000-0000-0000CD040000}"/>
    <cellStyle name="Euro 2 6" xfId="1321" xr:uid="{00000000-0005-0000-0000-0000CE040000}"/>
    <cellStyle name="Euro 2 7" xfId="3538" xr:uid="{00000000-0005-0000-0000-0000CF040000}"/>
    <cellStyle name="Euro 2_ANNÉE 2015" xfId="1322" xr:uid="{00000000-0005-0000-0000-0000D0040000}"/>
    <cellStyle name="Euro 3" xfId="1323" xr:uid="{00000000-0005-0000-0000-0000D1040000}"/>
    <cellStyle name="Euro 3 2" xfId="1324" xr:uid="{00000000-0005-0000-0000-0000D2040000}"/>
    <cellStyle name="Euro 3 2 2" xfId="1325" xr:uid="{00000000-0005-0000-0000-0000D3040000}"/>
    <cellStyle name="Euro 3 2 3" xfId="1326" xr:uid="{00000000-0005-0000-0000-0000D4040000}"/>
    <cellStyle name="Euro 3 3" xfId="1327" xr:uid="{00000000-0005-0000-0000-0000D5040000}"/>
    <cellStyle name="Euro 3 4" xfId="1328" xr:uid="{00000000-0005-0000-0000-0000D6040000}"/>
    <cellStyle name="Euro 3 5" xfId="3540" xr:uid="{00000000-0005-0000-0000-0000D7040000}"/>
    <cellStyle name="Euro 4" xfId="1329" xr:uid="{00000000-0005-0000-0000-0000D8040000}"/>
    <cellStyle name="Euro 4 2" xfId="1330" xr:uid="{00000000-0005-0000-0000-0000D9040000}"/>
    <cellStyle name="Euro 4 2 2" xfId="1331" xr:uid="{00000000-0005-0000-0000-0000DA040000}"/>
    <cellStyle name="Euro 4 2 3" xfId="1332" xr:uid="{00000000-0005-0000-0000-0000DB040000}"/>
    <cellStyle name="Euro 4 3" xfId="1333" xr:uid="{00000000-0005-0000-0000-0000DC040000}"/>
    <cellStyle name="Euro 4 3 2" xfId="1334" xr:uid="{00000000-0005-0000-0000-0000DD040000}"/>
    <cellStyle name="Euro 4 3 3" xfId="1335" xr:uid="{00000000-0005-0000-0000-0000DE040000}"/>
    <cellStyle name="Euro 4 4" xfId="1336" xr:uid="{00000000-0005-0000-0000-0000DF040000}"/>
    <cellStyle name="Euro 4 5" xfId="1337" xr:uid="{00000000-0005-0000-0000-0000E0040000}"/>
    <cellStyle name="Euro 4 6" xfId="3536" xr:uid="{00000000-0005-0000-0000-0000E1040000}"/>
    <cellStyle name="Euro 4_ANNÉE 2015" xfId="1338" xr:uid="{00000000-0005-0000-0000-0000E2040000}"/>
    <cellStyle name="Euro 5" xfId="1339" xr:uid="{00000000-0005-0000-0000-0000E3040000}"/>
    <cellStyle name="Euro 5 2" xfId="1340" xr:uid="{00000000-0005-0000-0000-0000E4040000}"/>
    <cellStyle name="Euro 5 3" xfId="1341" xr:uid="{00000000-0005-0000-0000-0000E5040000}"/>
    <cellStyle name="Euro 6" xfId="1342" xr:uid="{00000000-0005-0000-0000-0000E6040000}"/>
    <cellStyle name="Euro 6 2" xfId="1343" xr:uid="{00000000-0005-0000-0000-0000E7040000}"/>
    <cellStyle name="Euro 6 3" xfId="1344" xr:uid="{00000000-0005-0000-0000-0000E8040000}"/>
    <cellStyle name="Euro 7" xfId="1345" xr:uid="{00000000-0005-0000-0000-0000E9040000}"/>
    <cellStyle name="Euro 7 2" xfId="1346" xr:uid="{00000000-0005-0000-0000-0000EA040000}"/>
    <cellStyle name="Euro 7 3" xfId="1347" xr:uid="{00000000-0005-0000-0000-0000EB040000}"/>
    <cellStyle name="Euro 8" xfId="1348" xr:uid="{00000000-0005-0000-0000-0000EC040000}"/>
    <cellStyle name="Euro 8 2" xfId="1349" xr:uid="{00000000-0005-0000-0000-0000ED040000}"/>
    <cellStyle name="Euro 8 3" xfId="1350" xr:uid="{00000000-0005-0000-0000-0000EE040000}"/>
    <cellStyle name="Euro 8 3 2" xfId="1351" xr:uid="{00000000-0005-0000-0000-0000EF040000}"/>
    <cellStyle name="Euro 8 3 2 2" xfId="1352" xr:uid="{00000000-0005-0000-0000-0000F0040000}"/>
    <cellStyle name="Euro 8 3 3" xfId="1353" xr:uid="{00000000-0005-0000-0000-0000F1040000}"/>
    <cellStyle name="Euro 8 3 3 2" xfId="1354" xr:uid="{00000000-0005-0000-0000-0000F2040000}"/>
    <cellStyle name="Euro 8 3 4" xfId="1355" xr:uid="{00000000-0005-0000-0000-0000F3040000}"/>
    <cellStyle name="Euro 9" xfId="1356" xr:uid="{00000000-0005-0000-0000-0000F4040000}"/>
    <cellStyle name="Euro 9 2" xfId="1357" xr:uid="{00000000-0005-0000-0000-0000F5040000}"/>
    <cellStyle name="Euro 9 3" xfId="1358" xr:uid="{00000000-0005-0000-0000-0000F6040000}"/>
    <cellStyle name="Euro 9 3 2" xfId="1359" xr:uid="{00000000-0005-0000-0000-0000F7040000}"/>
    <cellStyle name="Euro 9 3 2 2" xfId="1360" xr:uid="{00000000-0005-0000-0000-0000F8040000}"/>
    <cellStyle name="Euro 9 3 3" xfId="1361" xr:uid="{00000000-0005-0000-0000-0000F9040000}"/>
    <cellStyle name="Euro 9 3 3 2" xfId="1362" xr:uid="{00000000-0005-0000-0000-0000FA040000}"/>
    <cellStyle name="Euro 9 3 4" xfId="1363" xr:uid="{00000000-0005-0000-0000-0000FB040000}"/>
    <cellStyle name="Euro_ANNÉE 2015" xfId="1364" xr:uid="{00000000-0005-0000-0000-0000FC040000}"/>
    <cellStyle name="Excel Built-in Explanatory Text" xfId="164" xr:uid="{00000000-0005-0000-0000-0000FD040000}"/>
    <cellStyle name="Excel Built-in Explanatory Text 2" xfId="1366" xr:uid="{00000000-0005-0000-0000-0000FE040000}"/>
    <cellStyle name="Excel Built-in Explanatory Text 3" xfId="1367" xr:uid="{00000000-0005-0000-0000-0000FF040000}"/>
    <cellStyle name="Excel Built-in Explanatory Text 4" xfId="1368" xr:uid="{00000000-0005-0000-0000-000000050000}"/>
    <cellStyle name="Excel Built-in Explanatory Text 5" xfId="1365" xr:uid="{00000000-0005-0000-0000-000001050000}"/>
    <cellStyle name="Excel Built-in Percent" xfId="1369" xr:uid="{00000000-0005-0000-0000-000002050000}"/>
    <cellStyle name="Excel.Chart" xfId="1370" xr:uid="{00000000-0005-0000-0000-000003050000}"/>
    <cellStyle name="Excel.Chart 2" xfId="1371" xr:uid="{00000000-0005-0000-0000-000004050000}"/>
    <cellStyle name="Excel.Chart 3" xfId="1372" xr:uid="{00000000-0005-0000-0000-000005050000}"/>
    <cellStyle name="Excel_BuiltIn_Insatisfaisant 1" xfId="1373" xr:uid="{00000000-0005-0000-0000-000006050000}"/>
    <cellStyle name="Explanatory Text" xfId="1374" xr:uid="{00000000-0005-0000-0000-000007050000}"/>
    <cellStyle name="Explanatory Text 2" xfId="1375" xr:uid="{00000000-0005-0000-0000-000008050000}"/>
    <cellStyle name="Explanatory Text 3" xfId="1376" xr:uid="{00000000-0005-0000-0000-000009050000}"/>
    <cellStyle name="F5" xfId="1377" xr:uid="{00000000-0005-0000-0000-00000A050000}"/>
    <cellStyle name="F5 2" xfId="1378" xr:uid="{00000000-0005-0000-0000-00000B050000}"/>
    <cellStyle name="F5 3" xfId="1379" xr:uid="{00000000-0005-0000-0000-00000C050000}"/>
    <cellStyle name="Financier" xfId="1380" xr:uid="{00000000-0005-0000-0000-00000D050000}"/>
    <cellStyle name="Financier 2" xfId="1381" xr:uid="{00000000-0005-0000-0000-00000E050000}"/>
    <cellStyle name="Financier 2 2" xfId="1382" xr:uid="{00000000-0005-0000-0000-00000F050000}"/>
    <cellStyle name="Financier 2 3" xfId="1383" xr:uid="{00000000-0005-0000-0000-000010050000}"/>
    <cellStyle name="Financier 3" xfId="1384" xr:uid="{00000000-0005-0000-0000-000011050000}"/>
    <cellStyle name="Financier 4" xfId="1385" xr:uid="{00000000-0005-0000-0000-000012050000}"/>
    <cellStyle name="Financier0" xfId="1386" xr:uid="{00000000-0005-0000-0000-000013050000}"/>
    <cellStyle name="Financier0 2" xfId="1387" xr:uid="{00000000-0005-0000-0000-000014050000}"/>
    <cellStyle name="Financier0 2 2" xfId="1388" xr:uid="{00000000-0005-0000-0000-000015050000}"/>
    <cellStyle name="Financier0 2 3" xfId="1389" xr:uid="{00000000-0005-0000-0000-000016050000}"/>
    <cellStyle name="Financier0 3" xfId="1390" xr:uid="{00000000-0005-0000-0000-000017050000}"/>
    <cellStyle name="Financier0 4" xfId="1391" xr:uid="{00000000-0005-0000-0000-000018050000}"/>
    <cellStyle name="Good" xfId="1392" xr:uid="{00000000-0005-0000-0000-000019050000}"/>
    <cellStyle name="Good 2" xfId="1393" xr:uid="{00000000-0005-0000-0000-00001A050000}"/>
    <cellStyle name="Good 3" xfId="1394" xr:uid="{00000000-0005-0000-0000-00001B050000}"/>
    <cellStyle name="Heading" xfId="1395" xr:uid="{00000000-0005-0000-0000-00001C050000}"/>
    <cellStyle name="Heading (user)" xfId="1396" xr:uid="{00000000-0005-0000-0000-00001D050000}"/>
    <cellStyle name="Heading (user) 2" xfId="1397" xr:uid="{00000000-0005-0000-0000-00001E050000}"/>
    <cellStyle name="Heading (user) 3" xfId="1398" xr:uid="{00000000-0005-0000-0000-00001F050000}"/>
    <cellStyle name="Heading 1" xfId="1399" xr:uid="{00000000-0005-0000-0000-000020050000}"/>
    <cellStyle name="Heading 1 2" xfId="1400" xr:uid="{00000000-0005-0000-0000-000021050000}"/>
    <cellStyle name="Heading 1 3" xfId="1401" xr:uid="{00000000-0005-0000-0000-000022050000}"/>
    <cellStyle name="Heading 2" xfId="1402" xr:uid="{00000000-0005-0000-0000-000023050000}"/>
    <cellStyle name="Heading 2 2" xfId="1403" xr:uid="{00000000-0005-0000-0000-000024050000}"/>
    <cellStyle name="Heading 2 3" xfId="1404" xr:uid="{00000000-0005-0000-0000-000025050000}"/>
    <cellStyle name="Heading 3" xfId="1405" xr:uid="{00000000-0005-0000-0000-000026050000}"/>
    <cellStyle name="Heading 3 2" xfId="1406" xr:uid="{00000000-0005-0000-0000-000027050000}"/>
    <cellStyle name="Heading 3 3" xfId="1407" xr:uid="{00000000-0005-0000-0000-000028050000}"/>
    <cellStyle name="Heading 4" xfId="1408" xr:uid="{00000000-0005-0000-0000-000029050000}"/>
    <cellStyle name="Heading 4 2" xfId="1409" xr:uid="{00000000-0005-0000-0000-00002A050000}"/>
    <cellStyle name="Heading 4 3" xfId="1410" xr:uid="{00000000-0005-0000-0000-00002B050000}"/>
    <cellStyle name="Heading 5" xfId="1411" xr:uid="{00000000-0005-0000-0000-00002C050000}"/>
    <cellStyle name="Heading 6" xfId="1412" xr:uid="{00000000-0005-0000-0000-00002D050000}"/>
    <cellStyle name="Heading 7" xfId="1413" xr:uid="{00000000-0005-0000-0000-00002E050000}"/>
    <cellStyle name="Heading 8" xfId="1414" xr:uid="{00000000-0005-0000-0000-00002F050000}"/>
    <cellStyle name="Heading1" xfId="1415" xr:uid="{00000000-0005-0000-0000-000030050000}"/>
    <cellStyle name="Heading1 (user)" xfId="1416" xr:uid="{00000000-0005-0000-0000-000031050000}"/>
    <cellStyle name="Heading1 (user) 2" xfId="1417" xr:uid="{00000000-0005-0000-0000-000032050000}"/>
    <cellStyle name="Heading1 (user) 3" xfId="1418" xr:uid="{00000000-0005-0000-0000-000033050000}"/>
    <cellStyle name="Heading1 2" xfId="1419" xr:uid="{00000000-0005-0000-0000-000034050000}"/>
    <cellStyle name="Heading1 3" xfId="1420" xr:uid="{00000000-0005-0000-0000-000035050000}"/>
    <cellStyle name="Heading1 4" xfId="1421" xr:uid="{00000000-0005-0000-0000-000036050000}"/>
    <cellStyle name="Heading1 5" xfId="1422" xr:uid="{00000000-0005-0000-0000-000037050000}"/>
    <cellStyle name="Hyperlink 2" xfId="1423" xr:uid="{00000000-0005-0000-0000-000038050000}"/>
    <cellStyle name="Incorrecto" xfId="1424" xr:uid="{00000000-0005-0000-0000-000039050000}"/>
    <cellStyle name="Incorrecto 2" xfId="1425" xr:uid="{00000000-0005-0000-0000-00003A050000}"/>
    <cellStyle name="Incorrecto 3" xfId="1426" xr:uid="{00000000-0005-0000-0000-00003B050000}"/>
    <cellStyle name="Input" xfId="1427" xr:uid="{00000000-0005-0000-0000-00003C050000}"/>
    <cellStyle name="Input 2" xfId="1428" xr:uid="{00000000-0005-0000-0000-00003D050000}"/>
    <cellStyle name="Input 3" xfId="1429" xr:uid="{00000000-0005-0000-0000-00003E050000}"/>
    <cellStyle name="Insatisfaisant" xfId="6" builtinId="27" customBuiltin="1"/>
    <cellStyle name="Insatisfaisant 2" xfId="1430" xr:uid="{00000000-0005-0000-0000-000040050000}"/>
    <cellStyle name="Insatisfaisant 2 2" xfId="1431" xr:uid="{00000000-0005-0000-0000-000041050000}"/>
    <cellStyle name="Insatisfaisant 2 3" xfId="1432" xr:uid="{00000000-0005-0000-0000-000042050000}"/>
    <cellStyle name="Lien hypertexte" xfId="163" builtinId="8"/>
    <cellStyle name="Lien hypertexte 2" xfId="151" xr:uid="{00000000-0005-0000-0000-000044050000}"/>
    <cellStyle name="Lien hypertexte 2 2" xfId="1434" xr:uid="{00000000-0005-0000-0000-000045050000}"/>
    <cellStyle name="Lien hypertexte 2 2 2" xfId="1435" xr:uid="{00000000-0005-0000-0000-000046050000}"/>
    <cellStyle name="Lien hypertexte 2 2 3" xfId="1436" xr:uid="{00000000-0005-0000-0000-000047050000}"/>
    <cellStyle name="Lien hypertexte 2 3" xfId="1437" xr:uid="{00000000-0005-0000-0000-000048050000}"/>
    <cellStyle name="Lien hypertexte 2 3 2" xfId="1438" xr:uid="{00000000-0005-0000-0000-000049050000}"/>
    <cellStyle name="Lien hypertexte 2 3 3" xfId="1439" xr:uid="{00000000-0005-0000-0000-00004A050000}"/>
    <cellStyle name="Lien hypertexte 2 4" xfId="1440" xr:uid="{00000000-0005-0000-0000-00004B050000}"/>
    <cellStyle name="Lien hypertexte 2 5" xfId="1441" xr:uid="{00000000-0005-0000-0000-00004C050000}"/>
    <cellStyle name="Lien hypertexte 2 6" xfId="1433" xr:uid="{00000000-0005-0000-0000-00004D050000}"/>
    <cellStyle name="Lien hypertexte 3" xfId="1442" xr:uid="{00000000-0005-0000-0000-00004E050000}"/>
    <cellStyle name="Lien hypertexte 3 2" xfId="1443" xr:uid="{00000000-0005-0000-0000-00004F050000}"/>
    <cellStyle name="Lien hypertexte 3 3" xfId="1444" xr:uid="{00000000-0005-0000-0000-000050050000}"/>
    <cellStyle name="Lien hypertexte 4" xfId="1445" xr:uid="{00000000-0005-0000-0000-000051050000}"/>
    <cellStyle name="Ligne détail" xfId="1446" xr:uid="{00000000-0005-0000-0000-000052050000}"/>
    <cellStyle name="Ligne détail 2" xfId="1447" xr:uid="{00000000-0005-0000-0000-000053050000}"/>
    <cellStyle name="Ligne détail 2 2" xfId="1448" xr:uid="{00000000-0005-0000-0000-000054050000}"/>
    <cellStyle name="Ligne détail 2 3" xfId="1449" xr:uid="{00000000-0005-0000-0000-000055050000}"/>
    <cellStyle name="Ligne détail 3" xfId="1450" xr:uid="{00000000-0005-0000-0000-000056050000}"/>
    <cellStyle name="Ligne détail 3 2" xfId="1451" xr:uid="{00000000-0005-0000-0000-000057050000}"/>
    <cellStyle name="Ligne détail 3 3" xfId="1452" xr:uid="{00000000-0005-0000-0000-000058050000}"/>
    <cellStyle name="Ligne détail 4" xfId="1453" xr:uid="{00000000-0005-0000-0000-000059050000}"/>
    <cellStyle name="Ligne détail 4 2" xfId="1454" xr:uid="{00000000-0005-0000-0000-00005A050000}"/>
    <cellStyle name="Ligne détail 4 3" xfId="1455" xr:uid="{00000000-0005-0000-0000-00005B050000}"/>
    <cellStyle name="Ligne détail 5" xfId="1456" xr:uid="{00000000-0005-0000-0000-00005C050000}"/>
    <cellStyle name="Ligne détail 6" xfId="1457" xr:uid="{00000000-0005-0000-0000-00005D050000}"/>
    <cellStyle name="ligne_titre_0" xfId="1458" xr:uid="{00000000-0005-0000-0000-00005E050000}"/>
    <cellStyle name="Linked Cell" xfId="1459" xr:uid="{00000000-0005-0000-0000-00005F050000}"/>
    <cellStyle name="Linked Cell 2" xfId="1460" xr:uid="{00000000-0005-0000-0000-000060050000}"/>
    <cellStyle name="Linked Cell 3" xfId="1461" xr:uid="{00000000-0005-0000-0000-000061050000}"/>
    <cellStyle name="MEV1" xfId="1462" xr:uid="{00000000-0005-0000-0000-000062050000}"/>
    <cellStyle name="MEV1 2" xfId="1463" xr:uid="{00000000-0005-0000-0000-000063050000}"/>
    <cellStyle name="MEV1 2 2" xfId="1464" xr:uid="{00000000-0005-0000-0000-000064050000}"/>
    <cellStyle name="MEV1 2 3" xfId="1465" xr:uid="{00000000-0005-0000-0000-000065050000}"/>
    <cellStyle name="MEV1 3" xfId="1466" xr:uid="{00000000-0005-0000-0000-000066050000}"/>
    <cellStyle name="MEV1 3 2" xfId="1467" xr:uid="{00000000-0005-0000-0000-000067050000}"/>
    <cellStyle name="MEV1 3 3" xfId="1468" xr:uid="{00000000-0005-0000-0000-000068050000}"/>
    <cellStyle name="MEV1 4" xfId="1469" xr:uid="{00000000-0005-0000-0000-000069050000}"/>
    <cellStyle name="MEV1 5" xfId="1470" xr:uid="{00000000-0005-0000-0000-00006A050000}"/>
    <cellStyle name="MEV2" xfId="1471" xr:uid="{00000000-0005-0000-0000-00006B050000}"/>
    <cellStyle name="MEV2 2" xfId="1472" xr:uid="{00000000-0005-0000-0000-00006C050000}"/>
    <cellStyle name="MEV2 2 2" xfId="1473" xr:uid="{00000000-0005-0000-0000-00006D050000}"/>
    <cellStyle name="MEV2 2 3" xfId="1474" xr:uid="{00000000-0005-0000-0000-00006E050000}"/>
    <cellStyle name="MEV2 3" xfId="1475" xr:uid="{00000000-0005-0000-0000-00006F050000}"/>
    <cellStyle name="MEV2 3 2" xfId="1476" xr:uid="{00000000-0005-0000-0000-000070050000}"/>
    <cellStyle name="MEV2 3 3" xfId="1477" xr:uid="{00000000-0005-0000-0000-000071050000}"/>
    <cellStyle name="MEV2 4" xfId="1478" xr:uid="{00000000-0005-0000-0000-000072050000}"/>
    <cellStyle name="MEV2 5" xfId="1479" xr:uid="{00000000-0005-0000-0000-000073050000}"/>
    <cellStyle name="MEV3" xfId="1480" xr:uid="{00000000-0005-0000-0000-000074050000}"/>
    <cellStyle name="MEV3 2" xfId="1481" xr:uid="{00000000-0005-0000-0000-000075050000}"/>
    <cellStyle name="MEV3 2 2" xfId="1482" xr:uid="{00000000-0005-0000-0000-000076050000}"/>
    <cellStyle name="MEV3 2 3" xfId="1483" xr:uid="{00000000-0005-0000-0000-000077050000}"/>
    <cellStyle name="MEV3 3" xfId="1484" xr:uid="{00000000-0005-0000-0000-000078050000}"/>
    <cellStyle name="MEV3 3 2" xfId="1485" xr:uid="{00000000-0005-0000-0000-000079050000}"/>
    <cellStyle name="MEV3 3 3" xfId="1486" xr:uid="{00000000-0005-0000-0000-00007A050000}"/>
    <cellStyle name="MEV3 4" xfId="1487" xr:uid="{00000000-0005-0000-0000-00007B050000}"/>
    <cellStyle name="MEV3 5" xfId="1488" xr:uid="{00000000-0005-0000-0000-00007C050000}"/>
    <cellStyle name="MEV4" xfId="1489" xr:uid="{00000000-0005-0000-0000-00007D050000}"/>
    <cellStyle name="MEV4 2" xfId="1490" xr:uid="{00000000-0005-0000-0000-00007E050000}"/>
    <cellStyle name="MEV4 3" xfId="1491" xr:uid="{00000000-0005-0000-0000-00007F050000}"/>
    <cellStyle name="MEV5" xfId="1492" xr:uid="{00000000-0005-0000-0000-000080050000}"/>
    <cellStyle name="MEV5 2" xfId="1493" xr:uid="{00000000-0005-0000-0000-000081050000}"/>
    <cellStyle name="MEV5 3" xfId="1494" xr:uid="{00000000-0005-0000-0000-000082050000}"/>
    <cellStyle name="Migliaia" xfId="157" xr:uid="{00000000-0005-0000-0000-000083050000}"/>
    <cellStyle name="Milliers" xfId="153" builtinId="3"/>
    <cellStyle name="Milliers 10" xfId="1496" xr:uid="{00000000-0005-0000-0000-000085050000}"/>
    <cellStyle name="Milliers 10 2" xfId="1497" xr:uid="{00000000-0005-0000-0000-000086050000}"/>
    <cellStyle name="Milliers 10 3" xfId="1498" xr:uid="{00000000-0005-0000-0000-000087050000}"/>
    <cellStyle name="Milliers 11" xfId="1499" xr:uid="{00000000-0005-0000-0000-000088050000}"/>
    <cellStyle name="Milliers 11 2" xfId="1500" xr:uid="{00000000-0005-0000-0000-000089050000}"/>
    <cellStyle name="Milliers 11 2 2" xfId="1501" xr:uid="{00000000-0005-0000-0000-00008A050000}"/>
    <cellStyle name="Milliers 11 3" xfId="1502" xr:uid="{00000000-0005-0000-0000-00008B050000}"/>
    <cellStyle name="Milliers 11 3 2" xfId="1503" xr:uid="{00000000-0005-0000-0000-00008C050000}"/>
    <cellStyle name="Milliers 11 4" xfId="1504" xr:uid="{00000000-0005-0000-0000-00008D050000}"/>
    <cellStyle name="Milliers 12" xfId="1505" xr:uid="{00000000-0005-0000-0000-00008E050000}"/>
    <cellStyle name="Milliers 12 2" xfId="1506" xr:uid="{00000000-0005-0000-0000-00008F050000}"/>
    <cellStyle name="Milliers 13" xfId="1507" xr:uid="{00000000-0005-0000-0000-000090050000}"/>
    <cellStyle name="Milliers 13 2" xfId="1508" xr:uid="{00000000-0005-0000-0000-000091050000}"/>
    <cellStyle name="Milliers 14" xfId="1509" xr:uid="{00000000-0005-0000-0000-000092050000}"/>
    <cellStyle name="Milliers 14 2" xfId="1510" xr:uid="{00000000-0005-0000-0000-000093050000}"/>
    <cellStyle name="Milliers 15" xfId="1511" xr:uid="{00000000-0005-0000-0000-000094050000}"/>
    <cellStyle name="Milliers 16" xfId="1512" xr:uid="{00000000-0005-0000-0000-000095050000}"/>
    <cellStyle name="Milliers 17" xfId="1495" xr:uid="{00000000-0005-0000-0000-000096050000}"/>
    <cellStyle name="Milliers 18" xfId="3525" xr:uid="{00000000-0005-0000-0000-000097050000}"/>
    <cellStyle name="Milliers 19" xfId="3544" xr:uid="{00000000-0005-0000-0000-000098050000}"/>
    <cellStyle name="Milliers 2" xfId="52" xr:uid="{00000000-0005-0000-0000-000099050000}"/>
    <cellStyle name="Milliers 2 10" xfId="1513" xr:uid="{00000000-0005-0000-0000-00009A050000}"/>
    <cellStyle name="Milliers 2 11" xfId="3529" xr:uid="{00000000-0005-0000-0000-00009B050000}"/>
    <cellStyle name="Milliers 2 2" xfId="158" xr:uid="{00000000-0005-0000-0000-00009C050000}"/>
    <cellStyle name="Milliers 2 2 2" xfId="1515" xr:uid="{00000000-0005-0000-0000-00009D050000}"/>
    <cellStyle name="Milliers 2 2 3" xfId="1516" xr:uid="{00000000-0005-0000-0000-00009E050000}"/>
    <cellStyle name="Milliers 2 2 4" xfId="1517" xr:uid="{00000000-0005-0000-0000-00009F050000}"/>
    <cellStyle name="Milliers 2 2 4 2" xfId="1518" xr:uid="{00000000-0005-0000-0000-0000A0050000}"/>
    <cellStyle name="Milliers 2 2 5" xfId="1519" xr:uid="{00000000-0005-0000-0000-0000A1050000}"/>
    <cellStyle name="Milliers 2 2 5 2" xfId="1520" xr:uid="{00000000-0005-0000-0000-0000A2050000}"/>
    <cellStyle name="Milliers 2 2 6" xfId="1521" xr:uid="{00000000-0005-0000-0000-0000A3050000}"/>
    <cellStyle name="Milliers 2 2 6 2" xfId="1522" xr:uid="{00000000-0005-0000-0000-0000A4050000}"/>
    <cellStyle name="Milliers 2 2 7" xfId="1523" xr:uid="{00000000-0005-0000-0000-0000A5050000}"/>
    <cellStyle name="Milliers 2 2 8" xfId="1514" xr:uid="{00000000-0005-0000-0000-0000A6050000}"/>
    <cellStyle name="Milliers 2 3" xfId="1524" xr:uid="{00000000-0005-0000-0000-0000A7050000}"/>
    <cellStyle name="Milliers 2 3 2" xfId="1525" xr:uid="{00000000-0005-0000-0000-0000A8050000}"/>
    <cellStyle name="Milliers 2 3 3" xfId="1526" xr:uid="{00000000-0005-0000-0000-0000A9050000}"/>
    <cellStyle name="Milliers 2 4" xfId="1527" xr:uid="{00000000-0005-0000-0000-0000AA050000}"/>
    <cellStyle name="Milliers 2 5" xfId="1528" xr:uid="{00000000-0005-0000-0000-0000AB050000}"/>
    <cellStyle name="Milliers 2 6" xfId="1529" xr:uid="{00000000-0005-0000-0000-0000AC050000}"/>
    <cellStyle name="Milliers 2 6 2" xfId="1530" xr:uid="{00000000-0005-0000-0000-0000AD050000}"/>
    <cellStyle name="Milliers 2 7" xfId="1531" xr:uid="{00000000-0005-0000-0000-0000AE050000}"/>
    <cellStyle name="Milliers 2 7 2" xfId="1532" xr:uid="{00000000-0005-0000-0000-0000AF050000}"/>
    <cellStyle name="Milliers 2 8" xfId="1533" xr:uid="{00000000-0005-0000-0000-0000B0050000}"/>
    <cellStyle name="Milliers 2 8 2" xfId="1534" xr:uid="{00000000-0005-0000-0000-0000B1050000}"/>
    <cellStyle name="Milliers 2 9" xfId="1535" xr:uid="{00000000-0005-0000-0000-0000B2050000}"/>
    <cellStyle name="Milliers 2_ANNÉE 2015" xfId="1536" xr:uid="{00000000-0005-0000-0000-0000B3050000}"/>
    <cellStyle name="Milliers 3" xfId="56" xr:uid="{00000000-0005-0000-0000-0000B4050000}"/>
    <cellStyle name="Milliers 3 2" xfId="155" xr:uid="{00000000-0005-0000-0000-0000B5050000}"/>
    <cellStyle name="Milliers 3 2 2" xfId="1538" xr:uid="{00000000-0005-0000-0000-0000B6050000}"/>
    <cellStyle name="Milliers 3 3" xfId="1539" xr:uid="{00000000-0005-0000-0000-0000B7050000}"/>
    <cellStyle name="Milliers 3 4" xfId="1540" xr:uid="{00000000-0005-0000-0000-0000B8050000}"/>
    <cellStyle name="Milliers 3 4 2" xfId="1541" xr:uid="{00000000-0005-0000-0000-0000B9050000}"/>
    <cellStyle name="Milliers 3 5" xfId="1542" xr:uid="{00000000-0005-0000-0000-0000BA050000}"/>
    <cellStyle name="Milliers 3 5 2" xfId="1543" xr:uid="{00000000-0005-0000-0000-0000BB050000}"/>
    <cellStyle name="Milliers 3 6" xfId="1544" xr:uid="{00000000-0005-0000-0000-0000BC050000}"/>
    <cellStyle name="Milliers 3 6 2" xfId="1545" xr:uid="{00000000-0005-0000-0000-0000BD050000}"/>
    <cellStyle name="Milliers 3 7" xfId="1546" xr:uid="{00000000-0005-0000-0000-0000BE050000}"/>
    <cellStyle name="Milliers 3 8" xfId="1537" xr:uid="{00000000-0005-0000-0000-0000BF050000}"/>
    <cellStyle name="Milliers 3 9" xfId="3527" xr:uid="{00000000-0005-0000-0000-0000C0050000}"/>
    <cellStyle name="Milliers 4" xfId="69" xr:uid="{00000000-0005-0000-0000-0000C1050000}"/>
    <cellStyle name="Milliers 4 2" xfId="1548" xr:uid="{00000000-0005-0000-0000-0000C2050000}"/>
    <cellStyle name="Milliers 4 3" xfId="1549" xr:uid="{00000000-0005-0000-0000-0000C3050000}"/>
    <cellStyle name="Milliers 4 4" xfId="1547" xr:uid="{00000000-0005-0000-0000-0000C4050000}"/>
    <cellStyle name="Milliers 4 5" xfId="3542" xr:uid="{00000000-0005-0000-0000-0000C5050000}"/>
    <cellStyle name="Milliers 5" xfId="41" xr:uid="{00000000-0005-0000-0000-0000C6050000}"/>
    <cellStyle name="Milliers 5 2" xfId="1551" xr:uid="{00000000-0005-0000-0000-0000C7050000}"/>
    <cellStyle name="Milliers 5 3" xfId="1552" xr:uid="{00000000-0005-0000-0000-0000C8050000}"/>
    <cellStyle name="Milliers 5 4" xfId="1550" xr:uid="{00000000-0005-0000-0000-0000C9050000}"/>
    <cellStyle name="Milliers 6" xfId="1553" xr:uid="{00000000-0005-0000-0000-0000CA050000}"/>
    <cellStyle name="Milliers 6 2" xfId="1554" xr:uid="{00000000-0005-0000-0000-0000CB050000}"/>
    <cellStyle name="Milliers 6 3" xfId="1555" xr:uid="{00000000-0005-0000-0000-0000CC050000}"/>
    <cellStyle name="Milliers 7" xfId="1556" xr:uid="{00000000-0005-0000-0000-0000CD050000}"/>
    <cellStyle name="Milliers 7 2" xfId="1557" xr:uid="{00000000-0005-0000-0000-0000CE050000}"/>
    <cellStyle name="Milliers 7 3" xfId="1558" xr:uid="{00000000-0005-0000-0000-0000CF050000}"/>
    <cellStyle name="Milliers 8" xfId="1559" xr:uid="{00000000-0005-0000-0000-0000D0050000}"/>
    <cellStyle name="Milliers 8 2" xfId="1560" xr:uid="{00000000-0005-0000-0000-0000D1050000}"/>
    <cellStyle name="Milliers 8 3" xfId="1561" xr:uid="{00000000-0005-0000-0000-0000D2050000}"/>
    <cellStyle name="Milliers 9" xfId="1562" xr:uid="{00000000-0005-0000-0000-0000D3050000}"/>
    <cellStyle name="Milliers 9 2" xfId="1563" xr:uid="{00000000-0005-0000-0000-0000D4050000}"/>
    <cellStyle name="Milliers 9 3" xfId="1564" xr:uid="{00000000-0005-0000-0000-0000D5050000}"/>
    <cellStyle name="Monétaire 2" xfId="1565" xr:uid="{00000000-0005-0000-0000-0000D6050000}"/>
    <cellStyle name="Monétaire 2 2" xfId="1566" xr:uid="{00000000-0005-0000-0000-0000D7050000}"/>
    <cellStyle name="Monétaire 2 3" xfId="1567" xr:uid="{00000000-0005-0000-0000-0000D8050000}"/>
    <cellStyle name="Monétaire 3" xfId="1568" xr:uid="{00000000-0005-0000-0000-0000D9050000}"/>
    <cellStyle name="Monétaire 3 2" xfId="1569" xr:uid="{00000000-0005-0000-0000-0000DA050000}"/>
    <cellStyle name="Monétaire 3 3" xfId="1570" xr:uid="{00000000-0005-0000-0000-0000DB050000}"/>
    <cellStyle name="Monétaire0" xfId="1571" xr:uid="{00000000-0005-0000-0000-0000DC050000}"/>
    <cellStyle name="Monétaire0 2" xfId="1572" xr:uid="{00000000-0005-0000-0000-0000DD050000}"/>
    <cellStyle name="Monétaire0 2 2" xfId="1573" xr:uid="{00000000-0005-0000-0000-0000DE050000}"/>
    <cellStyle name="Monétaire0 2 3" xfId="1574" xr:uid="{00000000-0005-0000-0000-0000DF050000}"/>
    <cellStyle name="Monétaire0 3" xfId="1575" xr:uid="{00000000-0005-0000-0000-0000E0050000}"/>
    <cellStyle name="Monétaire0 4" xfId="1576" xr:uid="{00000000-0005-0000-0000-0000E1050000}"/>
    <cellStyle name="N?rmal_la?oux_larou?" xfId="1577" xr:uid="{00000000-0005-0000-0000-0000E2050000}"/>
    <cellStyle name="Neutral" xfId="1578" xr:uid="{00000000-0005-0000-0000-0000E3050000}"/>
    <cellStyle name="Neutral 2" xfId="1579" xr:uid="{00000000-0005-0000-0000-0000E4050000}"/>
    <cellStyle name="Neutral 3" xfId="1580" xr:uid="{00000000-0005-0000-0000-0000E5050000}"/>
    <cellStyle name="Neutrale" xfId="1581" xr:uid="{00000000-0005-0000-0000-0000E6050000}"/>
    <cellStyle name="Neutrale 2" xfId="1582" xr:uid="{00000000-0005-0000-0000-0000E7050000}"/>
    <cellStyle name="Neutrale 3" xfId="1583" xr:uid="{00000000-0005-0000-0000-0000E8050000}"/>
    <cellStyle name="Neutre" xfId="7" builtinId="28" customBuiltin="1"/>
    <cellStyle name="Neutre 2" xfId="1584" xr:uid="{00000000-0005-0000-0000-0000EA050000}"/>
    <cellStyle name="Neutre 2 2" xfId="1585" xr:uid="{00000000-0005-0000-0000-0000EB050000}"/>
    <cellStyle name="Neutre 2 3" xfId="1586" xr:uid="{00000000-0005-0000-0000-0000EC050000}"/>
    <cellStyle name="Neutre 2 4" xfId="3541" xr:uid="{00000000-0005-0000-0000-0000ED050000}"/>
    <cellStyle name="Norma?_On Hol?" xfId="1587" xr:uid="{00000000-0005-0000-0000-0000EE050000}"/>
    <cellStyle name="Normaᷬ_On Holᷤ" xfId="1588" xr:uid="{00000000-0005-0000-0000-0000EF050000}"/>
    <cellStyle name="Normal" xfId="0" builtinId="0"/>
    <cellStyle name="Normal - Style1" xfId="1589" xr:uid="{00000000-0005-0000-0000-0000F1050000}"/>
    <cellStyle name="Normal - Style1 2" xfId="1590" xr:uid="{00000000-0005-0000-0000-0000F2050000}"/>
    <cellStyle name="Normal - Style1 3" xfId="1591" xr:uid="{00000000-0005-0000-0000-0000F3050000}"/>
    <cellStyle name="Normal 10" xfId="40" xr:uid="{00000000-0005-0000-0000-0000F4050000}"/>
    <cellStyle name="Normal 10 2" xfId="1593" xr:uid="{00000000-0005-0000-0000-0000F5050000}"/>
    <cellStyle name="Normal 10 3" xfId="1594" xr:uid="{00000000-0005-0000-0000-0000F6050000}"/>
    <cellStyle name="Normal 10 4" xfId="1592" xr:uid="{00000000-0005-0000-0000-0000F7050000}"/>
    <cellStyle name="Normal 11" xfId="156" xr:uid="{00000000-0005-0000-0000-0000F8050000}"/>
    <cellStyle name="Normal 11 2" xfId="1596" xr:uid="{00000000-0005-0000-0000-0000F9050000}"/>
    <cellStyle name="Normal 11 3" xfId="1597" xr:uid="{00000000-0005-0000-0000-0000FA050000}"/>
    <cellStyle name="Normal 11 4" xfId="1595" xr:uid="{00000000-0005-0000-0000-0000FB050000}"/>
    <cellStyle name="Normal 12" xfId="1598" xr:uid="{00000000-0005-0000-0000-0000FC050000}"/>
    <cellStyle name="Normal 12 2" xfId="1599" xr:uid="{00000000-0005-0000-0000-0000FD050000}"/>
    <cellStyle name="Normal 12 2 2" xfId="1600" xr:uid="{00000000-0005-0000-0000-0000FE050000}"/>
    <cellStyle name="Normal 12 2 3" xfId="1601" xr:uid="{00000000-0005-0000-0000-0000FF050000}"/>
    <cellStyle name="Normal 12 3" xfId="1602" xr:uid="{00000000-0005-0000-0000-000000060000}"/>
    <cellStyle name="Normal 12 3 2" xfId="1603" xr:uid="{00000000-0005-0000-0000-000001060000}"/>
    <cellStyle name="Normal 12 3 3" xfId="1604" xr:uid="{00000000-0005-0000-0000-000002060000}"/>
    <cellStyle name="Normal 12 4" xfId="1605" xr:uid="{00000000-0005-0000-0000-000003060000}"/>
    <cellStyle name="Normal 12 5" xfId="1606" xr:uid="{00000000-0005-0000-0000-000004060000}"/>
    <cellStyle name="Normal 13" xfId="1607" xr:uid="{00000000-0005-0000-0000-000005060000}"/>
    <cellStyle name="Normal 13 2" xfId="1608" xr:uid="{00000000-0005-0000-0000-000006060000}"/>
    <cellStyle name="Normal 13 3" xfId="1609" xr:uid="{00000000-0005-0000-0000-000007060000}"/>
    <cellStyle name="Normal 13 3 2" xfId="1610" xr:uid="{00000000-0005-0000-0000-000008060000}"/>
    <cellStyle name="Normal 13 3 2 2" xfId="1611" xr:uid="{00000000-0005-0000-0000-000009060000}"/>
    <cellStyle name="Normal 13 3 3" xfId="1612" xr:uid="{00000000-0005-0000-0000-00000A060000}"/>
    <cellStyle name="Normal 13 3 3 2" xfId="1613" xr:uid="{00000000-0005-0000-0000-00000B060000}"/>
    <cellStyle name="Normal 13 3 4" xfId="1614" xr:uid="{00000000-0005-0000-0000-00000C060000}"/>
    <cellStyle name="Normal 14" xfId="1615" xr:uid="{00000000-0005-0000-0000-00000D060000}"/>
    <cellStyle name="Normal 14 2" xfId="1616" xr:uid="{00000000-0005-0000-0000-00000E060000}"/>
    <cellStyle name="Normal 14 3" xfId="1617" xr:uid="{00000000-0005-0000-0000-00000F060000}"/>
    <cellStyle name="Normal 14 3 2" xfId="1618" xr:uid="{00000000-0005-0000-0000-000010060000}"/>
    <cellStyle name="Normal 14 3 2 2" xfId="1619" xr:uid="{00000000-0005-0000-0000-000011060000}"/>
    <cellStyle name="Normal 14 3 3" xfId="1620" xr:uid="{00000000-0005-0000-0000-000012060000}"/>
    <cellStyle name="Normal 14 3 3 2" xfId="1621" xr:uid="{00000000-0005-0000-0000-000013060000}"/>
    <cellStyle name="Normal 14 3 4" xfId="1622" xr:uid="{00000000-0005-0000-0000-000014060000}"/>
    <cellStyle name="Normal 15" xfId="1623" xr:uid="{00000000-0005-0000-0000-000015060000}"/>
    <cellStyle name="Normal 15 2" xfId="1624" xr:uid="{00000000-0005-0000-0000-000016060000}"/>
    <cellStyle name="Normal 15 3" xfId="1625" xr:uid="{00000000-0005-0000-0000-000017060000}"/>
    <cellStyle name="Normal 15 3 2" xfId="1626" xr:uid="{00000000-0005-0000-0000-000018060000}"/>
    <cellStyle name="Normal 15 3 2 2" xfId="1627" xr:uid="{00000000-0005-0000-0000-000019060000}"/>
    <cellStyle name="Normal 15 3 3" xfId="1628" xr:uid="{00000000-0005-0000-0000-00001A060000}"/>
    <cellStyle name="Normal 15 3 3 2" xfId="1629" xr:uid="{00000000-0005-0000-0000-00001B060000}"/>
    <cellStyle name="Normal 15 3 4" xfId="1630" xr:uid="{00000000-0005-0000-0000-00001C060000}"/>
    <cellStyle name="Normal 16" xfId="1631" xr:uid="{00000000-0005-0000-0000-00001D060000}"/>
    <cellStyle name="Normal 16 2" xfId="1632" xr:uid="{00000000-0005-0000-0000-00001E060000}"/>
    <cellStyle name="Normal 16 3" xfId="1633" xr:uid="{00000000-0005-0000-0000-00001F060000}"/>
    <cellStyle name="Normal 16 3 2" xfId="1634" xr:uid="{00000000-0005-0000-0000-000020060000}"/>
    <cellStyle name="Normal 16 3 2 2" xfId="1635" xr:uid="{00000000-0005-0000-0000-000021060000}"/>
    <cellStyle name="Normal 16 3 3" xfId="1636" xr:uid="{00000000-0005-0000-0000-000022060000}"/>
    <cellStyle name="Normal 16 3 3 2" xfId="1637" xr:uid="{00000000-0005-0000-0000-000023060000}"/>
    <cellStyle name="Normal 16 3 4" xfId="1638" xr:uid="{00000000-0005-0000-0000-000024060000}"/>
    <cellStyle name="Normal 17" xfId="1639" xr:uid="{00000000-0005-0000-0000-000025060000}"/>
    <cellStyle name="Normal 17 2" xfId="1640" xr:uid="{00000000-0005-0000-0000-000026060000}"/>
    <cellStyle name="Normal 17 3" xfId="1641" xr:uid="{00000000-0005-0000-0000-000027060000}"/>
    <cellStyle name="Normal 17 3 2" xfId="1642" xr:uid="{00000000-0005-0000-0000-000028060000}"/>
    <cellStyle name="Normal 17 3 2 2" xfId="1643" xr:uid="{00000000-0005-0000-0000-000029060000}"/>
    <cellStyle name="Normal 17 3 3" xfId="1644" xr:uid="{00000000-0005-0000-0000-00002A060000}"/>
    <cellStyle name="Normal 17 3 3 2" xfId="1645" xr:uid="{00000000-0005-0000-0000-00002B060000}"/>
    <cellStyle name="Normal 17 3 4" xfId="1646" xr:uid="{00000000-0005-0000-0000-00002C060000}"/>
    <cellStyle name="Normal 18" xfId="1647" xr:uid="{00000000-0005-0000-0000-00002D060000}"/>
    <cellStyle name="Normal 18 2" xfId="1648" xr:uid="{00000000-0005-0000-0000-00002E060000}"/>
    <cellStyle name="Normal 18 3" xfId="1649" xr:uid="{00000000-0005-0000-0000-00002F060000}"/>
    <cellStyle name="Normal 18 3 2" xfId="1650" xr:uid="{00000000-0005-0000-0000-000030060000}"/>
    <cellStyle name="Normal 18 3 2 2" xfId="1651" xr:uid="{00000000-0005-0000-0000-000031060000}"/>
    <cellStyle name="Normal 18 3 3" xfId="1652" xr:uid="{00000000-0005-0000-0000-000032060000}"/>
    <cellStyle name="Normal 18 3 3 2" xfId="1653" xr:uid="{00000000-0005-0000-0000-000033060000}"/>
    <cellStyle name="Normal 18 3 4" xfId="1654" xr:uid="{00000000-0005-0000-0000-000034060000}"/>
    <cellStyle name="Normal 19" xfId="1655" xr:uid="{00000000-0005-0000-0000-000035060000}"/>
    <cellStyle name="Normal 19 2" xfId="1656" xr:uid="{00000000-0005-0000-0000-000036060000}"/>
    <cellStyle name="Normal 19 3" xfId="1657" xr:uid="{00000000-0005-0000-0000-000037060000}"/>
    <cellStyle name="Normal 2" xfId="49" xr:uid="{00000000-0005-0000-0000-000038060000}"/>
    <cellStyle name="Normal 2 2" xfId="154" xr:uid="{00000000-0005-0000-0000-000039060000}"/>
    <cellStyle name="Normal 2 2 2" xfId="1659" xr:uid="{00000000-0005-0000-0000-00003A060000}"/>
    <cellStyle name="Normal 2 2 2 2 4" xfId="3543" xr:uid="{00000000-0005-0000-0000-00003B060000}"/>
    <cellStyle name="Normal 2 2 3" xfId="1660" xr:uid="{00000000-0005-0000-0000-00003C060000}"/>
    <cellStyle name="Normal 2 2 4" xfId="1658" xr:uid="{00000000-0005-0000-0000-00003D060000}"/>
    <cellStyle name="Normal 2 3" xfId="1661" xr:uid="{00000000-0005-0000-0000-00003E060000}"/>
    <cellStyle name="Normal 2 3 17" xfId="1662" xr:uid="{00000000-0005-0000-0000-00003F060000}"/>
    <cellStyle name="Normal 2 3 2" xfId="1663" xr:uid="{00000000-0005-0000-0000-000040060000}"/>
    <cellStyle name="Normal 2 3 2 2" xfId="1664" xr:uid="{00000000-0005-0000-0000-000041060000}"/>
    <cellStyle name="Normal 2 3 2 3" xfId="1665" xr:uid="{00000000-0005-0000-0000-000042060000}"/>
    <cellStyle name="Normal 2 3 3" xfId="1666" xr:uid="{00000000-0005-0000-0000-000043060000}"/>
    <cellStyle name="Normal 2 3 4" xfId="1667" xr:uid="{00000000-0005-0000-0000-000044060000}"/>
    <cellStyle name="Normal 2 4" xfId="1668" xr:uid="{00000000-0005-0000-0000-000045060000}"/>
    <cellStyle name="Normal 2 4 2" xfId="1669" xr:uid="{00000000-0005-0000-0000-000046060000}"/>
    <cellStyle name="Normal 2 4 3" xfId="1670" xr:uid="{00000000-0005-0000-0000-000047060000}"/>
    <cellStyle name="Normal 2 5" xfId="1671" xr:uid="{00000000-0005-0000-0000-000048060000}"/>
    <cellStyle name="Normal 2 5 2" xfId="1672" xr:uid="{00000000-0005-0000-0000-000049060000}"/>
    <cellStyle name="Normal 2 5 3" xfId="1673" xr:uid="{00000000-0005-0000-0000-00004A060000}"/>
    <cellStyle name="Normal 2 5 3 2" xfId="1674" xr:uid="{00000000-0005-0000-0000-00004B060000}"/>
    <cellStyle name="Normal 2 5 3 2 2" xfId="1675" xr:uid="{00000000-0005-0000-0000-00004C060000}"/>
    <cellStyle name="Normal 2 5 3 3" xfId="1676" xr:uid="{00000000-0005-0000-0000-00004D060000}"/>
    <cellStyle name="Normal 2 5 3 3 2" xfId="1677" xr:uid="{00000000-0005-0000-0000-00004E060000}"/>
    <cellStyle name="Normal 2 5 3 4" xfId="1678" xr:uid="{00000000-0005-0000-0000-00004F060000}"/>
    <cellStyle name="Normal 2 6" xfId="1679" xr:uid="{00000000-0005-0000-0000-000050060000}"/>
    <cellStyle name="Normal 2 7" xfId="1680" xr:uid="{00000000-0005-0000-0000-000051060000}"/>
    <cellStyle name="Normal 2 8" xfId="1681" xr:uid="{00000000-0005-0000-0000-000052060000}"/>
    <cellStyle name="Normal 2 9" xfId="3528" xr:uid="{00000000-0005-0000-0000-000053060000}"/>
    <cellStyle name="Normal 2_ANNÉE 2015" xfId="1682" xr:uid="{00000000-0005-0000-0000-000054060000}"/>
    <cellStyle name="Normal 20" xfId="1683" xr:uid="{00000000-0005-0000-0000-000055060000}"/>
    <cellStyle name="Normal 20 2" xfId="1684" xr:uid="{00000000-0005-0000-0000-000056060000}"/>
    <cellStyle name="Normal 20 3" xfId="1685" xr:uid="{00000000-0005-0000-0000-000057060000}"/>
    <cellStyle name="Normal 21" xfId="1686" xr:uid="{00000000-0005-0000-0000-000058060000}"/>
    <cellStyle name="Normal 21 2" xfId="1687" xr:uid="{00000000-0005-0000-0000-000059060000}"/>
    <cellStyle name="Normal 21 3" xfId="1688" xr:uid="{00000000-0005-0000-0000-00005A060000}"/>
    <cellStyle name="Normal 22" xfId="1689" xr:uid="{00000000-0005-0000-0000-00005B060000}"/>
    <cellStyle name="Normal 22 2" xfId="1690" xr:uid="{00000000-0005-0000-0000-00005C060000}"/>
    <cellStyle name="Normal 22 3" xfId="1691" xr:uid="{00000000-0005-0000-0000-00005D060000}"/>
    <cellStyle name="Normal 23" xfId="1692" xr:uid="{00000000-0005-0000-0000-00005E060000}"/>
    <cellStyle name="Normal 23 2" xfId="1693" xr:uid="{00000000-0005-0000-0000-00005F060000}"/>
    <cellStyle name="Normal 23 3" xfId="1694" xr:uid="{00000000-0005-0000-0000-000060060000}"/>
    <cellStyle name="Normal 24" xfId="1695" xr:uid="{00000000-0005-0000-0000-000061060000}"/>
    <cellStyle name="Normal 24 2" xfId="1696" xr:uid="{00000000-0005-0000-0000-000062060000}"/>
    <cellStyle name="Normal 24 3" xfId="1697" xr:uid="{00000000-0005-0000-0000-000063060000}"/>
    <cellStyle name="Normal 25" xfId="1698" xr:uid="{00000000-0005-0000-0000-000064060000}"/>
    <cellStyle name="Normal 25 2" xfId="1699" xr:uid="{00000000-0005-0000-0000-000065060000}"/>
    <cellStyle name="Normal 25 3" xfId="1700" xr:uid="{00000000-0005-0000-0000-000066060000}"/>
    <cellStyle name="Normal 26" xfId="1701" xr:uid="{00000000-0005-0000-0000-000067060000}"/>
    <cellStyle name="Normal 26 2" xfId="1702" xr:uid="{00000000-0005-0000-0000-000068060000}"/>
    <cellStyle name="Normal 26 3" xfId="1703" xr:uid="{00000000-0005-0000-0000-000069060000}"/>
    <cellStyle name="Normal 27" xfId="1704" xr:uid="{00000000-0005-0000-0000-00006A060000}"/>
    <cellStyle name="Normal 27 2" xfId="1705" xr:uid="{00000000-0005-0000-0000-00006B060000}"/>
    <cellStyle name="Normal 27 3" xfId="1706" xr:uid="{00000000-0005-0000-0000-00006C060000}"/>
    <cellStyle name="Normal 28" xfId="1707" xr:uid="{00000000-0005-0000-0000-00006D060000}"/>
    <cellStyle name="Normal 28 2" xfId="1708" xr:uid="{00000000-0005-0000-0000-00006E060000}"/>
    <cellStyle name="Normal 28 3" xfId="1709" xr:uid="{00000000-0005-0000-0000-00006F060000}"/>
    <cellStyle name="Normal 29" xfId="1710" xr:uid="{00000000-0005-0000-0000-000070060000}"/>
    <cellStyle name="Normal 29 2" xfId="1711" xr:uid="{00000000-0005-0000-0000-000071060000}"/>
    <cellStyle name="Normal 29 2 2" xfId="1712" xr:uid="{00000000-0005-0000-0000-000072060000}"/>
    <cellStyle name="Normal 29 2 2 2" xfId="1713" xr:uid="{00000000-0005-0000-0000-000073060000}"/>
    <cellStyle name="Normal 29 2 3" xfId="1714" xr:uid="{00000000-0005-0000-0000-000074060000}"/>
    <cellStyle name="Normal 29 2 3 2" xfId="1715" xr:uid="{00000000-0005-0000-0000-000075060000}"/>
    <cellStyle name="Normal 29 2 4" xfId="1716" xr:uid="{00000000-0005-0000-0000-000076060000}"/>
    <cellStyle name="Normal 3" xfId="51" xr:uid="{00000000-0005-0000-0000-000077060000}"/>
    <cellStyle name="Normal 3 2" xfId="1718" xr:uid="{00000000-0005-0000-0000-000078060000}"/>
    <cellStyle name="Normal 3 2 2" xfId="1719" xr:uid="{00000000-0005-0000-0000-000079060000}"/>
    <cellStyle name="Normal 3 2 3" xfId="1720" xr:uid="{00000000-0005-0000-0000-00007A060000}"/>
    <cellStyle name="Normal 3 2 4" xfId="3537" xr:uid="{00000000-0005-0000-0000-00007B060000}"/>
    <cellStyle name="Normal 3 3" xfId="1721" xr:uid="{00000000-0005-0000-0000-00007C060000}"/>
    <cellStyle name="Normal 3 3 2" xfId="1722" xr:uid="{00000000-0005-0000-0000-00007D060000}"/>
    <cellStyle name="Normal 3 3 3" xfId="1723" xr:uid="{00000000-0005-0000-0000-00007E060000}"/>
    <cellStyle name="Normal 3 3 4" xfId="3539" xr:uid="{00000000-0005-0000-0000-00007F060000}"/>
    <cellStyle name="Normal 3 4" xfId="1724" xr:uid="{00000000-0005-0000-0000-000080060000}"/>
    <cellStyle name="Normal 3 4 2" xfId="1725" xr:uid="{00000000-0005-0000-0000-000081060000}"/>
    <cellStyle name="Normal 3 4 3" xfId="1726" xr:uid="{00000000-0005-0000-0000-000082060000}"/>
    <cellStyle name="Normal 3 4 4" xfId="3535" xr:uid="{00000000-0005-0000-0000-000083060000}"/>
    <cellStyle name="Normal 3 5" xfId="1727" xr:uid="{00000000-0005-0000-0000-000084060000}"/>
    <cellStyle name="Normal 3 5 2" xfId="1728" xr:uid="{00000000-0005-0000-0000-000085060000}"/>
    <cellStyle name="Normal 3 5 3" xfId="1729" xr:uid="{00000000-0005-0000-0000-000086060000}"/>
    <cellStyle name="Normal 3 6" xfId="1730" xr:uid="{00000000-0005-0000-0000-000087060000}"/>
    <cellStyle name="Normal 3 7" xfId="1731" xr:uid="{00000000-0005-0000-0000-000088060000}"/>
    <cellStyle name="Normal 3 8" xfId="1717" xr:uid="{00000000-0005-0000-0000-000089060000}"/>
    <cellStyle name="Normal 3_ANNÉE 2015" xfId="1732" xr:uid="{00000000-0005-0000-0000-00008A060000}"/>
    <cellStyle name="Normal 30" xfId="1733" xr:uid="{00000000-0005-0000-0000-00008B060000}"/>
    <cellStyle name="Normal 31" xfId="1734" xr:uid="{00000000-0005-0000-0000-00008C060000}"/>
    <cellStyle name="Normal 32" xfId="160" xr:uid="{00000000-0005-0000-0000-00008D060000}"/>
    <cellStyle name="Normal 32 2" xfId="1735" xr:uid="{00000000-0005-0000-0000-00008E060000}"/>
    <cellStyle name="Normal 33" xfId="1736" xr:uid="{00000000-0005-0000-0000-00008F060000}"/>
    <cellStyle name="Normal 34" xfId="1737" xr:uid="{00000000-0005-0000-0000-000090060000}"/>
    <cellStyle name="Normal 4" xfId="50" xr:uid="{00000000-0005-0000-0000-000091060000}"/>
    <cellStyle name="Normal 4 2" xfId="64" xr:uid="{00000000-0005-0000-0000-000092060000}"/>
    <cellStyle name="Normal 4 2 2" xfId="80" xr:uid="{00000000-0005-0000-0000-000093060000}"/>
    <cellStyle name="Normal 4 2 2 2" xfId="107" xr:uid="{00000000-0005-0000-0000-000094060000}"/>
    <cellStyle name="Normal 4 2 2 2 2" xfId="149" xr:uid="{00000000-0005-0000-0000-000095060000}"/>
    <cellStyle name="Normal 4 2 2 3" xfId="128" xr:uid="{00000000-0005-0000-0000-000096060000}"/>
    <cellStyle name="Normal 4 2 2 4" xfId="1740" xr:uid="{00000000-0005-0000-0000-000097060000}"/>
    <cellStyle name="Normal 4 2 3" xfId="83" xr:uid="{00000000-0005-0000-0000-000098060000}"/>
    <cellStyle name="Normal 4 2 3 2" xfId="131" xr:uid="{00000000-0005-0000-0000-000099060000}"/>
    <cellStyle name="Normal 4 2 3 3" xfId="1741" xr:uid="{00000000-0005-0000-0000-00009A060000}"/>
    <cellStyle name="Normal 4 2 4" xfId="110" xr:uid="{00000000-0005-0000-0000-00009B060000}"/>
    <cellStyle name="Normal 4 2 5" xfId="1739" xr:uid="{00000000-0005-0000-0000-00009C060000}"/>
    <cellStyle name="Normal 4 3" xfId="70" xr:uid="{00000000-0005-0000-0000-00009D060000}"/>
    <cellStyle name="Normal 4 3 2" xfId="99" xr:uid="{00000000-0005-0000-0000-00009E060000}"/>
    <cellStyle name="Normal 4 3 2 2" xfId="147" xr:uid="{00000000-0005-0000-0000-00009F060000}"/>
    <cellStyle name="Normal 4 3 2 3" xfId="1743" xr:uid="{00000000-0005-0000-0000-0000A0060000}"/>
    <cellStyle name="Normal 4 3 3" xfId="126" xr:uid="{00000000-0005-0000-0000-0000A1060000}"/>
    <cellStyle name="Normal 4 3 3 2" xfId="1744" xr:uid="{00000000-0005-0000-0000-0000A2060000}"/>
    <cellStyle name="Normal 4 3 4" xfId="1742" xr:uid="{00000000-0005-0000-0000-0000A3060000}"/>
    <cellStyle name="Normal 4 4" xfId="81" xr:uid="{00000000-0005-0000-0000-0000A4060000}"/>
    <cellStyle name="Normal 4 4 2" xfId="129" xr:uid="{00000000-0005-0000-0000-0000A5060000}"/>
    <cellStyle name="Normal 4 4 2 2" xfId="1746" xr:uid="{00000000-0005-0000-0000-0000A6060000}"/>
    <cellStyle name="Normal 4 4 3" xfId="1747" xr:uid="{00000000-0005-0000-0000-0000A7060000}"/>
    <cellStyle name="Normal 4 4 4" xfId="1745" xr:uid="{00000000-0005-0000-0000-0000A8060000}"/>
    <cellStyle name="Normal 4 5" xfId="108" xr:uid="{00000000-0005-0000-0000-0000A9060000}"/>
    <cellStyle name="Normal 4 5 2" xfId="1749" xr:uid="{00000000-0005-0000-0000-0000AA060000}"/>
    <cellStyle name="Normal 4 5 3" xfId="1750" xr:uid="{00000000-0005-0000-0000-0000AB060000}"/>
    <cellStyle name="Normal 4 5 3 2" xfId="1751" xr:uid="{00000000-0005-0000-0000-0000AC060000}"/>
    <cellStyle name="Normal 4 5 3 2 2" xfId="1752" xr:uid="{00000000-0005-0000-0000-0000AD060000}"/>
    <cellStyle name="Normal 4 5 3 3" xfId="1753" xr:uid="{00000000-0005-0000-0000-0000AE060000}"/>
    <cellStyle name="Normal 4 5 3 3 2" xfId="1754" xr:uid="{00000000-0005-0000-0000-0000AF060000}"/>
    <cellStyle name="Normal 4 5 3 4" xfId="1755" xr:uid="{00000000-0005-0000-0000-0000B0060000}"/>
    <cellStyle name="Normal 4 5 4" xfId="1748" xr:uid="{00000000-0005-0000-0000-0000B1060000}"/>
    <cellStyle name="Normal 4 6" xfId="1756" xr:uid="{00000000-0005-0000-0000-0000B2060000}"/>
    <cellStyle name="Normal 4 7" xfId="1757" xr:uid="{00000000-0005-0000-0000-0000B3060000}"/>
    <cellStyle name="Normal 4 8" xfId="1758" xr:uid="{00000000-0005-0000-0000-0000B4060000}"/>
    <cellStyle name="Normal 4 9" xfId="1738" xr:uid="{00000000-0005-0000-0000-0000B5060000}"/>
    <cellStyle name="Normal 4_ANNÉE 2015" xfId="1759" xr:uid="{00000000-0005-0000-0000-0000B6060000}"/>
    <cellStyle name="Normal 5" xfId="55" xr:uid="{00000000-0005-0000-0000-0000B7060000}"/>
    <cellStyle name="Normal 5 2" xfId="1761" xr:uid="{00000000-0005-0000-0000-0000B8060000}"/>
    <cellStyle name="Normal 5 2 2" xfId="1762" xr:uid="{00000000-0005-0000-0000-0000B9060000}"/>
    <cellStyle name="Normal 5 2 3" xfId="1763" xr:uid="{00000000-0005-0000-0000-0000BA060000}"/>
    <cellStyle name="Normal 5 3" xfId="1764" xr:uid="{00000000-0005-0000-0000-0000BB060000}"/>
    <cellStyle name="Normal 5 3 2" xfId="1765" xr:uid="{00000000-0005-0000-0000-0000BC060000}"/>
    <cellStyle name="Normal 5 3 3" xfId="1766" xr:uid="{00000000-0005-0000-0000-0000BD060000}"/>
    <cellStyle name="Normal 5 3 3 2" xfId="1767" xr:uid="{00000000-0005-0000-0000-0000BE060000}"/>
    <cellStyle name="Normal 5 3 3 2 2" xfId="1768" xr:uid="{00000000-0005-0000-0000-0000BF060000}"/>
    <cellStyle name="Normal 5 3 3 3" xfId="1769" xr:uid="{00000000-0005-0000-0000-0000C0060000}"/>
    <cellStyle name="Normal 5 3 3 3 2" xfId="1770" xr:uid="{00000000-0005-0000-0000-0000C1060000}"/>
    <cellStyle name="Normal 5 3 3 4" xfId="1771" xr:uid="{00000000-0005-0000-0000-0000C2060000}"/>
    <cellStyle name="Normal 5 4" xfId="1772" xr:uid="{00000000-0005-0000-0000-0000C3060000}"/>
    <cellStyle name="Normal 5 4 2" xfId="1773" xr:uid="{00000000-0005-0000-0000-0000C4060000}"/>
    <cellStyle name="Normal 5 4 3" xfId="1774" xr:uid="{00000000-0005-0000-0000-0000C5060000}"/>
    <cellStyle name="Normal 5 5" xfId="1775" xr:uid="{00000000-0005-0000-0000-0000C6060000}"/>
    <cellStyle name="Normal 5 6" xfId="1776" xr:uid="{00000000-0005-0000-0000-0000C7060000}"/>
    <cellStyle name="Normal 5 7" xfId="1760" xr:uid="{00000000-0005-0000-0000-0000C8060000}"/>
    <cellStyle name="Normal 5_ANNÉE 2015" xfId="1777" xr:uid="{00000000-0005-0000-0000-0000C9060000}"/>
    <cellStyle name="Normal 6" xfId="54" xr:uid="{00000000-0005-0000-0000-0000CA060000}"/>
    <cellStyle name="Normal 6 2" xfId="73" xr:uid="{00000000-0005-0000-0000-0000CB060000}"/>
    <cellStyle name="Normal 6 2 2" xfId="100" xr:uid="{00000000-0005-0000-0000-0000CC060000}"/>
    <cellStyle name="Normal 6 2 2 2" xfId="148" xr:uid="{00000000-0005-0000-0000-0000CD060000}"/>
    <cellStyle name="Normal 6 2 2 3" xfId="1780" xr:uid="{00000000-0005-0000-0000-0000CE060000}"/>
    <cellStyle name="Normal 6 2 3" xfId="127" xr:uid="{00000000-0005-0000-0000-0000CF060000}"/>
    <cellStyle name="Normal 6 2 3 2" xfId="1781" xr:uid="{00000000-0005-0000-0000-0000D0060000}"/>
    <cellStyle name="Normal 6 2 4" xfId="1779" xr:uid="{00000000-0005-0000-0000-0000D1060000}"/>
    <cellStyle name="Normal 6 3" xfId="82" xr:uid="{00000000-0005-0000-0000-0000D2060000}"/>
    <cellStyle name="Normal 6 3 2" xfId="130" xr:uid="{00000000-0005-0000-0000-0000D3060000}"/>
    <cellStyle name="Normal 6 3 2 2" xfId="1783" xr:uid="{00000000-0005-0000-0000-0000D4060000}"/>
    <cellStyle name="Normal 6 3 3" xfId="1784" xr:uid="{00000000-0005-0000-0000-0000D5060000}"/>
    <cellStyle name="Normal 6 3 3 2" xfId="1785" xr:uid="{00000000-0005-0000-0000-0000D6060000}"/>
    <cellStyle name="Normal 6 3 3 2 2" xfId="1786" xr:uid="{00000000-0005-0000-0000-0000D7060000}"/>
    <cellStyle name="Normal 6 3 3 3" xfId="1787" xr:uid="{00000000-0005-0000-0000-0000D8060000}"/>
    <cellStyle name="Normal 6 3 3 3 2" xfId="1788" xr:uid="{00000000-0005-0000-0000-0000D9060000}"/>
    <cellStyle name="Normal 6 3 3 4" xfId="1789" xr:uid="{00000000-0005-0000-0000-0000DA060000}"/>
    <cellStyle name="Normal 6 3 4" xfId="1782" xr:uid="{00000000-0005-0000-0000-0000DB060000}"/>
    <cellStyle name="Normal 6 4" xfId="109" xr:uid="{00000000-0005-0000-0000-0000DC060000}"/>
    <cellStyle name="Normal 6 4 2" xfId="1791" xr:uid="{00000000-0005-0000-0000-0000DD060000}"/>
    <cellStyle name="Normal 6 4 3" xfId="1792" xr:uid="{00000000-0005-0000-0000-0000DE060000}"/>
    <cellStyle name="Normal 6 4 3 2" xfId="1793" xr:uid="{00000000-0005-0000-0000-0000DF060000}"/>
    <cellStyle name="Normal 6 4 3 2 2" xfId="1794" xr:uid="{00000000-0005-0000-0000-0000E0060000}"/>
    <cellStyle name="Normal 6 4 3 3" xfId="1795" xr:uid="{00000000-0005-0000-0000-0000E1060000}"/>
    <cellStyle name="Normal 6 4 3 3 2" xfId="1796" xr:uid="{00000000-0005-0000-0000-0000E2060000}"/>
    <cellStyle name="Normal 6 4 3 4" xfId="1797" xr:uid="{00000000-0005-0000-0000-0000E3060000}"/>
    <cellStyle name="Normal 6 4 4" xfId="1790" xr:uid="{00000000-0005-0000-0000-0000E4060000}"/>
    <cellStyle name="Normal 6 5" xfId="1798" xr:uid="{00000000-0005-0000-0000-0000E5060000}"/>
    <cellStyle name="Normal 6 6" xfId="1799" xr:uid="{00000000-0005-0000-0000-0000E6060000}"/>
    <cellStyle name="Normal 6 6 2" xfId="1800" xr:uid="{00000000-0005-0000-0000-0000E7060000}"/>
    <cellStyle name="Normal 6 6 2 2" xfId="1801" xr:uid="{00000000-0005-0000-0000-0000E8060000}"/>
    <cellStyle name="Normal 6 6 3" xfId="1802" xr:uid="{00000000-0005-0000-0000-0000E9060000}"/>
    <cellStyle name="Normal 6 6 3 2" xfId="1803" xr:uid="{00000000-0005-0000-0000-0000EA060000}"/>
    <cellStyle name="Normal 6 6 4" xfId="1804" xr:uid="{00000000-0005-0000-0000-0000EB060000}"/>
    <cellStyle name="Normal 6 7" xfId="1778" xr:uid="{00000000-0005-0000-0000-0000EC060000}"/>
    <cellStyle name="Normal 6_ANNÉE 2015" xfId="1805" xr:uid="{00000000-0005-0000-0000-0000ED060000}"/>
    <cellStyle name="Normal 7" xfId="71" xr:uid="{00000000-0005-0000-0000-0000EE060000}"/>
    <cellStyle name="Normal 7 2" xfId="1807" xr:uid="{00000000-0005-0000-0000-0000EF060000}"/>
    <cellStyle name="Normal 7 3" xfId="1808" xr:uid="{00000000-0005-0000-0000-0000F0060000}"/>
    <cellStyle name="Normal 7 4" xfId="1806" xr:uid="{00000000-0005-0000-0000-0000F1060000}"/>
    <cellStyle name="Normal 8" xfId="66" xr:uid="{00000000-0005-0000-0000-0000F2060000}"/>
    <cellStyle name="Normal 8 2" xfId="96" xr:uid="{00000000-0005-0000-0000-0000F3060000}"/>
    <cellStyle name="Normal 8 2 2" xfId="144" xr:uid="{00000000-0005-0000-0000-0000F4060000}"/>
    <cellStyle name="Normal 8 2 3" xfId="1810" xr:uid="{00000000-0005-0000-0000-0000F5060000}"/>
    <cellStyle name="Normal 8 3" xfId="123" xr:uid="{00000000-0005-0000-0000-0000F6060000}"/>
    <cellStyle name="Normal 8 3 2" xfId="1811" xr:uid="{00000000-0005-0000-0000-0000F7060000}"/>
    <cellStyle name="Normal 8 4" xfId="1809" xr:uid="{00000000-0005-0000-0000-0000F8060000}"/>
    <cellStyle name="Normal 9" xfId="150" xr:uid="{00000000-0005-0000-0000-0000F9060000}"/>
    <cellStyle name="Normal 9 2" xfId="1813" xr:uid="{00000000-0005-0000-0000-0000FA060000}"/>
    <cellStyle name="Normal 9 3" xfId="1814" xr:uid="{00000000-0005-0000-0000-0000FB060000}"/>
    <cellStyle name="Normal 9 3 2" xfId="1815" xr:uid="{00000000-0005-0000-0000-0000FC060000}"/>
    <cellStyle name="Normal 9 3 2 2" xfId="1816" xr:uid="{00000000-0005-0000-0000-0000FD060000}"/>
    <cellStyle name="Normal 9 3 3" xfId="1817" xr:uid="{00000000-0005-0000-0000-0000FE060000}"/>
    <cellStyle name="Normal 9 3 3 2" xfId="1818" xr:uid="{00000000-0005-0000-0000-0000FF060000}"/>
    <cellStyle name="Normal 9 3 4" xfId="1819" xr:uid="{00000000-0005-0000-0000-000000070000}"/>
    <cellStyle name="Normal 9 4" xfId="1812" xr:uid="{00000000-0005-0000-0000-000001070000}"/>
    <cellStyle name="Normal GHG Numbers (0.00)" xfId="1820" xr:uid="{00000000-0005-0000-0000-000002070000}"/>
    <cellStyle name="Normal GHG Numbers (0.00) 2" xfId="1821" xr:uid="{00000000-0005-0000-0000-000003070000}"/>
    <cellStyle name="Normal GHG Numbers (0.00) 3" xfId="1822" xr:uid="{00000000-0005-0000-0000-000004070000}"/>
    <cellStyle name="Normale" xfId="1823" xr:uid="{00000000-0005-0000-0000-000005070000}"/>
    <cellStyle name="Normale 2" xfId="1824" xr:uid="{00000000-0005-0000-0000-000006070000}"/>
    <cellStyle name="Normale 2 2" xfId="1825" xr:uid="{00000000-0005-0000-0000-000007070000}"/>
    <cellStyle name="Normale 3" xfId="1826" xr:uid="{00000000-0005-0000-0000-000008070000}"/>
    <cellStyle name="Normale 4" xfId="1827" xr:uid="{00000000-0005-0000-0000-000009070000}"/>
    <cellStyle name="Nota" xfId="1828" xr:uid="{00000000-0005-0000-0000-00000A070000}"/>
    <cellStyle name="Nota 2" xfId="1829" xr:uid="{00000000-0005-0000-0000-00000B070000}"/>
    <cellStyle name="Nota 3" xfId="1830" xr:uid="{00000000-0005-0000-0000-00000C070000}"/>
    <cellStyle name="Notas" xfId="1831" xr:uid="{00000000-0005-0000-0000-00000D070000}"/>
    <cellStyle name="Notas 2" xfId="1832" xr:uid="{00000000-0005-0000-0000-00000E070000}"/>
    <cellStyle name="Notas 3" xfId="1833" xr:uid="{00000000-0005-0000-0000-00000F070000}"/>
    <cellStyle name="Note 1" xfId="159" xr:uid="{00000000-0005-0000-0000-000010070000}"/>
    <cellStyle name="note 1 2" xfId="1835" xr:uid="{00000000-0005-0000-0000-000011070000}"/>
    <cellStyle name="note 1 3" xfId="1836" xr:uid="{00000000-0005-0000-0000-000012070000}"/>
    <cellStyle name="note 1 4" xfId="1834" xr:uid="{00000000-0005-0000-0000-000013070000}"/>
    <cellStyle name="Note 2" xfId="1837" xr:uid="{00000000-0005-0000-0000-000014070000}"/>
    <cellStyle name="Note 2 2" xfId="1838" xr:uid="{00000000-0005-0000-0000-000015070000}"/>
    <cellStyle name="Note 2 2 2" xfId="162" xr:uid="{00000000-0005-0000-0000-000016070000}"/>
    <cellStyle name="Note 2 3" xfId="1839" xr:uid="{00000000-0005-0000-0000-000017070000}"/>
    <cellStyle name="note 3" xfId="1840" xr:uid="{00000000-0005-0000-0000-000018070000}"/>
    <cellStyle name="note 3 2" xfId="1841" xr:uid="{00000000-0005-0000-0000-000019070000}"/>
    <cellStyle name="note 3 3" xfId="1842" xr:uid="{00000000-0005-0000-0000-00001A070000}"/>
    <cellStyle name="num_note" xfId="1843" xr:uid="{00000000-0005-0000-0000-00001B070000}"/>
    <cellStyle name="N䃯rmal_la䇲oux_larou᷸" xfId="1844" xr:uid="{00000000-0005-0000-0000-00001C070000}"/>
    <cellStyle name="Onglet" xfId="43" xr:uid="{00000000-0005-0000-0000-00001D070000}"/>
    <cellStyle name="Onglet 2" xfId="58" xr:uid="{00000000-0005-0000-0000-00001E070000}"/>
    <cellStyle name="Onglet 2 2" xfId="74" xr:uid="{00000000-0005-0000-0000-00001F070000}"/>
    <cellStyle name="Onglet 2 2 2" xfId="101" xr:uid="{00000000-0005-0000-0000-000020070000}"/>
    <cellStyle name="Output" xfId="1845" xr:uid="{00000000-0005-0000-0000-000021070000}"/>
    <cellStyle name="Output 2" xfId="1846" xr:uid="{00000000-0005-0000-0000-000022070000}"/>
    <cellStyle name="Output 3" xfId="1847" xr:uid="{00000000-0005-0000-0000-000023070000}"/>
    <cellStyle name="Percent 2" xfId="1848" xr:uid="{00000000-0005-0000-0000-000024070000}"/>
    <cellStyle name="Poste" xfId="48" xr:uid="{00000000-0005-0000-0000-000025070000}"/>
    <cellStyle name="Poste 2" xfId="63" xr:uid="{00000000-0005-0000-0000-000026070000}"/>
    <cellStyle name="Poste 2 2" xfId="79" xr:uid="{00000000-0005-0000-0000-000027070000}"/>
    <cellStyle name="Poste 2 2 2" xfId="106" xr:uid="{00000000-0005-0000-0000-000028070000}"/>
    <cellStyle name="Poste Ce" xfId="47" xr:uid="{00000000-0005-0000-0000-000029070000}"/>
    <cellStyle name="Poste Ce 2" xfId="62" xr:uid="{00000000-0005-0000-0000-00002A070000}"/>
    <cellStyle name="Poste Ce 2 2" xfId="78" xr:uid="{00000000-0005-0000-0000-00002B070000}"/>
    <cellStyle name="Poste Ce 2 2 2" xfId="105" xr:uid="{00000000-0005-0000-0000-00002C070000}"/>
    <cellStyle name="Poste CO2e" xfId="44" xr:uid="{00000000-0005-0000-0000-00002D070000}"/>
    <cellStyle name="Poste CO2e 2" xfId="59" xr:uid="{00000000-0005-0000-0000-00002E070000}"/>
    <cellStyle name="Poste CO2e 2 2" xfId="75" xr:uid="{00000000-0005-0000-0000-00002F070000}"/>
    <cellStyle name="Poste CO2e 2 2 2" xfId="102" xr:uid="{00000000-0005-0000-0000-000030070000}"/>
    <cellStyle name="Pourcentage" xfId="152" builtinId="5"/>
    <cellStyle name="Pourcentage 10" xfId="1850" xr:uid="{00000000-0005-0000-0000-000032070000}"/>
    <cellStyle name="Pourcentage 10 2" xfId="1851" xr:uid="{00000000-0005-0000-0000-000033070000}"/>
    <cellStyle name="Pourcentage 10 3" xfId="1852" xr:uid="{00000000-0005-0000-0000-000034070000}"/>
    <cellStyle name="Pourcentage 11" xfId="1853" xr:uid="{00000000-0005-0000-0000-000035070000}"/>
    <cellStyle name="Pourcentage 11 2" xfId="1854" xr:uid="{00000000-0005-0000-0000-000036070000}"/>
    <cellStyle name="Pourcentage 11 2 2" xfId="1855" xr:uid="{00000000-0005-0000-0000-000037070000}"/>
    <cellStyle name="Pourcentage 11 3" xfId="1856" xr:uid="{00000000-0005-0000-0000-000038070000}"/>
    <cellStyle name="Pourcentage 11 3 2" xfId="1857" xr:uid="{00000000-0005-0000-0000-000039070000}"/>
    <cellStyle name="Pourcentage 11 4" xfId="1858" xr:uid="{00000000-0005-0000-0000-00003A070000}"/>
    <cellStyle name="Pourcentage 12" xfId="1859" xr:uid="{00000000-0005-0000-0000-00003B070000}"/>
    <cellStyle name="Pourcentage 12 2" xfId="1860" xr:uid="{00000000-0005-0000-0000-00003C070000}"/>
    <cellStyle name="Pourcentage 13" xfId="1861" xr:uid="{00000000-0005-0000-0000-00003D070000}"/>
    <cellStyle name="Pourcentage 13 2" xfId="1862" xr:uid="{00000000-0005-0000-0000-00003E070000}"/>
    <cellStyle name="Pourcentage 14" xfId="1863" xr:uid="{00000000-0005-0000-0000-00003F070000}"/>
    <cellStyle name="Pourcentage 15" xfId="1864" xr:uid="{00000000-0005-0000-0000-000040070000}"/>
    <cellStyle name="Pourcentage 16" xfId="1849" xr:uid="{00000000-0005-0000-0000-000041070000}"/>
    <cellStyle name="Pourcentage 2" xfId="53" xr:uid="{00000000-0005-0000-0000-000042070000}"/>
    <cellStyle name="Pourcentage 2 2" xfId="1866" xr:uid="{00000000-0005-0000-0000-000043070000}"/>
    <cellStyle name="Pourcentage 2 2 2" xfId="1867" xr:uid="{00000000-0005-0000-0000-000044070000}"/>
    <cellStyle name="Pourcentage 2 2 3" xfId="1868" xr:uid="{00000000-0005-0000-0000-000045070000}"/>
    <cellStyle name="Pourcentage 2 2 3 2" xfId="1869" xr:uid="{00000000-0005-0000-0000-000046070000}"/>
    <cellStyle name="Pourcentage 2 2 3 2 2" xfId="1870" xr:uid="{00000000-0005-0000-0000-000047070000}"/>
    <cellStyle name="Pourcentage 2 2 3 3" xfId="1871" xr:uid="{00000000-0005-0000-0000-000048070000}"/>
    <cellStyle name="Pourcentage 2 2 3 3 2" xfId="1872" xr:uid="{00000000-0005-0000-0000-000049070000}"/>
    <cellStyle name="Pourcentage 2 2 3 4" xfId="1873" xr:uid="{00000000-0005-0000-0000-00004A070000}"/>
    <cellStyle name="Pourcentage 2 3" xfId="1874" xr:uid="{00000000-0005-0000-0000-00004B070000}"/>
    <cellStyle name="Pourcentage 2 4" xfId="1875" xr:uid="{00000000-0005-0000-0000-00004C070000}"/>
    <cellStyle name="Pourcentage 2 5" xfId="1865" xr:uid="{00000000-0005-0000-0000-00004D070000}"/>
    <cellStyle name="Pourcentage 2 6" xfId="1876" xr:uid="{00000000-0005-0000-0000-00004E070000}"/>
    <cellStyle name="Pourcentage 3" xfId="57" xr:uid="{00000000-0005-0000-0000-00004F070000}"/>
    <cellStyle name="Pourcentage 3 2" xfId="1878" xr:uid="{00000000-0005-0000-0000-000050070000}"/>
    <cellStyle name="Pourcentage 3 3" xfId="1879" xr:uid="{00000000-0005-0000-0000-000051070000}"/>
    <cellStyle name="Pourcentage 3 4" xfId="1877" xr:uid="{00000000-0005-0000-0000-000052070000}"/>
    <cellStyle name="Pourcentage 4" xfId="72" xr:uid="{00000000-0005-0000-0000-000053070000}"/>
    <cellStyle name="Pourcentage 4 2" xfId="1881" xr:uid="{00000000-0005-0000-0000-000054070000}"/>
    <cellStyle name="Pourcentage 4 2 2" xfId="1882" xr:uid="{00000000-0005-0000-0000-000055070000}"/>
    <cellStyle name="Pourcentage 4 2 3" xfId="1883" xr:uid="{00000000-0005-0000-0000-000056070000}"/>
    <cellStyle name="Pourcentage 4 3" xfId="1884" xr:uid="{00000000-0005-0000-0000-000057070000}"/>
    <cellStyle name="Pourcentage 4 4" xfId="1885" xr:uid="{00000000-0005-0000-0000-000058070000}"/>
    <cellStyle name="Pourcentage 4 4 2" xfId="1886" xr:uid="{00000000-0005-0000-0000-000059070000}"/>
    <cellStyle name="Pourcentage 4 4 2 2" xfId="1887" xr:uid="{00000000-0005-0000-0000-00005A070000}"/>
    <cellStyle name="Pourcentage 4 4 3" xfId="1888" xr:uid="{00000000-0005-0000-0000-00005B070000}"/>
    <cellStyle name="Pourcentage 4 4 3 2" xfId="1889" xr:uid="{00000000-0005-0000-0000-00005C070000}"/>
    <cellStyle name="Pourcentage 4 4 4" xfId="1890" xr:uid="{00000000-0005-0000-0000-00005D070000}"/>
    <cellStyle name="Pourcentage 4 5" xfId="1880" xr:uid="{00000000-0005-0000-0000-00005E070000}"/>
    <cellStyle name="Pourcentage 5" xfId="67" xr:uid="{00000000-0005-0000-0000-00005F070000}"/>
    <cellStyle name="Pourcentage 5 2" xfId="97" xr:uid="{00000000-0005-0000-0000-000060070000}"/>
    <cellStyle name="Pourcentage 5 2 2" xfId="145" xr:uid="{00000000-0005-0000-0000-000061070000}"/>
    <cellStyle name="Pourcentage 5 2 3" xfId="1892" xr:uid="{00000000-0005-0000-0000-000062070000}"/>
    <cellStyle name="Pourcentage 5 3" xfId="124" xr:uid="{00000000-0005-0000-0000-000063070000}"/>
    <cellStyle name="Pourcentage 5 3 2" xfId="1893" xr:uid="{00000000-0005-0000-0000-000064070000}"/>
    <cellStyle name="Pourcentage 5 4" xfId="1891" xr:uid="{00000000-0005-0000-0000-000065070000}"/>
    <cellStyle name="Pourcentage 6" xfId="42" xr:uid="{00000000-0005-0000-0000-000066070000}"/>
    <cellStyle name="Pourcentage 6 2" xfId="1895" xr:uid="{00000000-0005-0000-0000-000067070000}"/>
    <cellStyle name="Pourcentage 6 3" xfId="1896" xr:uid="{00000000-0005-0000-0000-000068070000}"/>
    <cellStyle name="Pourcentage 6 4" xfId="1894" xr:uid="{00000000-0005-0000-0000-000069070000}"/>
    <cellStyle name="Pourcentage 7" xfId="1897" xr:uid="{00000000-0005-0000-0000-00006A070000}"/>
    <cellStyle name="Pourcentage 7 2" xfId="1898" xr:uid="{00000000-0005-0000-0000-00006B070000}"/>
    <cellStyle name="Pourcentage 7 3" xfId="1899" xr:uid="{00000000-0005-0000-0000-00006C070000}"/>
    <cellStyle name="Pourcentage 8" xfId="161" xr:uid="{00000000-0005-0000-0000-00006D070000}"/>
    <cellStyle name="Pourcentage 8 2" xfId="1901" xr:uid="{00000000-0005-0000-0000-00006E070000}"/>
    <cellStyle name="Pourcentage 8 3" xfId="1902" xr:uid="{00000000-0005-0000-0000-00006F070000}"/>
    <cellStyle name="Pourcentage 8 4" xfId="1900" xr:uid="{00000000-0005-0000-0000-000070070000}"/>
    <cellStyle name="Pourcentage 9" xfId="1903" xr:uid="{00000000-0005-0000-0000-000071070000}"/>
    <cellStyle name="Pourcentage 9 2" xfId="1904" xr:uid="{00000000-0005-0000-0000-000072070000}"/>
    <cellStyle name="Pourcentage 9 3" xfId="1905" xr:uid="{00000000-0005-0000-0000-000073070000}"/>
    <cellStyle name="Remarque" xfId="1906" xr:uid="{00000000-0005-0000-0000-000074070000}"/>
    <cellStyle name="Remarque 2" xfId="1907" xr:uid="{00000000-0005-0000-0000-000075070000}"/>
    <cellStyle name="Remarque 2 2" xfId="1908" xr:uid="{00000000-0005-0000-0000-000076070000}"/>
    <cellStyle name="Remarque 2 3" xfId="1909" xr:uid="{00000000-0005-0000-0000-000077070000}"/>
    <cellStyle name="Remarque 3" xfId="1910" xr:uid="{00000000-0005-0000-0000-000078070000}"/>
    <cellStyle name="Remarque 4" xfId="1911" xr:uid="{00000000-0005-0000-0000-000079070000}"/>
    <cellStyle name="Result" xfId="1912" xr:uid="{00000000-0005-0000-0000-00007A070000}"/>
    <cellStyle name="Result (user)" xfId="1913" xr:uid="{00000000-0005-0000-0000-00007B070000}"/>
    <cellStyle name="Result (user) 2" xfId="1914" xr:uid="{00000000-0005-0000-0000-00007C070000}"/>
    <cellStyle name="Result (user) 3" xfId="1915" xr:uid="{00000000-0005-0000-0000-00007D070000}"/>
    <cellStyle name="Result 2" xfId="1916" xr:uid="{00000000-0005-0000-0000-00007E070000}"/>
    <cellStyle name="Result 3" xfId="1917" xr:uid="{00000000-0005-0000-0000-00007F070000}"/>
    <cellStyle name="Result 4" xfId="1918" xr:uid="{00000000-0005-0000-0000-000080070000}"/>
    <cellStyle name="Result 5" xfId="1919" xr:uid="{00000000-0005-0000-0000-000081070000}"/>
    <cellStyle name="Result2" xfId="1920" xr:uid="{00000000-0005-0000-0000-000082070000}"/>
    <cellStyle name="Result2 (user)" xfId="1921" xr:uid="{00000000-0005-0000-0000-000083070000}"/>
    <cellStyle name="Result2 (user) 2" xfId="1922" xr:uid="{00000000-0005-0000-0000-000084070000}"/>
    <cellStyle name="Result2 (user) 3" xfId="1923" xr:uid="{00000000-0005-0000-0000-000085070000}"/>
    <cellStyle name="Result2 2" xfId="1924" xr:uid="{00000000-0005-0000-0000-000086070000}"/>
    <cellStyle name="Result2 3" xfId="1925" xr:uid="{00000000-0005-0000-0000-000087070000}"/>
    <cellStyle name="Result2 4" xfId="1926" xr:uid="{00000000-0005-0000-0000-000088070000}"/>
    <cellStyle name="Result2 5" xfId="1927" xr:uid="{00000000-0005-0000-0000-000089070000}"/>
    <cellStyle name="Résultat" xfId="3532" xr:uid="{00000000-0005-0000-0000-00008A070000}"/>
    <cellStyle name="Résultat2" xfId="3533" xr:uid="{00000000-0005-0000-0000-00008B070000}"/>
    <cellStyle name="Salida" xfId="1928" xr:uid="{00000000-0005-0000-0000-00008C070000}"/>
    <cellStyle name="Salida 2" xfId="1929" xr:uid="{00000000-0005-0000-0000-00008D070000}"/>
    <cellStyle name="Salida 3" xfId="1930" xr:uid="{00000000-0005-0000-0000-00008E070000}"/>
    <cellStyle name="Satisfaisant" xfId="5" builtinId="26" customBuiltin="1"/>
    <cellStyle name="Satisfaisant 2" xfId="1931" xr:uid="{00000000-0005-0000-0000-000090070000}"/>
    <cellStyle name="Satisfaisant 2 2" xfId="1932" xr:uid="{00000000-0005-0000-0000-000091070000}"/>
    <cellStyle name="Satisfaisant 2 3" xfId="1933" xr:uid="{00000000-0005-0000-0000-000092070000}"/>
    <cellStyle name="Sortie" xfId="9" builtinId="21" customBuiltin="1"/>
    <cellStyle name="Sortie 2" xfId="1934" xr:uid="{00000000-0005-0000-0000-000094070000}"/>
    <cellStyle name="Sortie 2 2" xfId="1935" xr:uid="{00000000-0005-0000-0000-000095070000}"/>
    <cellStyle name="Sortie 2 3" xfId="1936" xr:uid="{00000000-0005-0000-0000-000096070000}"/>
    <cellStyle name="source" xfId="1937" xr:uid="{00000000-0005-0000-0000-000097070000}"/>
    <cellStyle name="source 2" xfId="1938" xr:uid="{00000000-0005-0000-0000-000098070000}"/>
    <cellStyle name="source 3" xfId="1939" xr:uid="{00000000-0005-0000-0000-000099070000}"/>
    <cellStyle name="Sous-poste" xfId="45" xr:uid="{00000000-0005-0000-0000-00009A070000}"/>
    <cellStyle name="Sous-poste 2" xfId="60" xr:uid="{00000000-0005-0000-0000-00009B070000}"/>
    <cellStyle name="Sous-poste 2 2" xfId="76" xr:uid="{00000000-0005-0000-0000-00009C070000}"/>
    <cellStyle name="Sous-poste 2 2 2" xfId="103" xr:uid="{00000000-0005-0000-0000-00009D070000}"/>
    <cellStyle name="Standard_Mappe1" xfId="3526" xr:uid="{00000000-0005-0000-0000-00009E070000}"/>
    <cellStyle name="Table du pilote - Catégorie" xfId="1940" xr:uid="{00000000-0005-0000-0000-00009F070000}"/>
    <cellStyle name="Table du pilote - Catégorie 2" xfId="1941" xr:uid="{00000000-0005-0000-0000-0000A0070000}"/>
    <cellStyle name="Table du pilote - Catégorie 3" xfId="1942" xr:uid="{00000000-0005-0000-0000-0000A1070000}"/>
    <cellStyle name="Table du pilote - Champ" xfId="1943" xr:uid="{00000000-0005-0000-0000-0000A2070000}"/>
    <cellStyle name="Table du pilote - Champ 2" xfId="1944" xr:uid="{00000000-0005-0000-0000-0000A3070000}"/>
    <cellStyle name="Table du pilote - Champ 3" xfId="1945" xr:uid="{00000000-0005-0000-0000-0000A4070000}"/>
    <cellStyle name="Table du pilote - Coin" xfId="1946" xr:uid="{00000000-0005-0000-0000-0000A5070000}"/>
    <cellStyle name="Table du pilote - Coin 2" xfId="1947" xr:uid="{00000000-0005-0000-0000-0000A6070000}"/>
    <cellStyle name="Table du pilote - Coin 3" xfId="1948" xr:uid="{00000000-0005-0000-0000-0000A7070000}"/>
    <cellStyle name="Table du pilote - Résultat" xfId="1949" xr:uid="{00000000-0005-0000-0000-0000A8070000}"/>
    <cellStyle name="Table du pilote - Résultat 2" xfId="1950" xr:uid="{00000000-0005-0000-0000-0000A9070000}"/>
    <cellStyle name="Table du pilote - Résultat 3" xfId="1951" xr:uid="{00000000-0005-0000-0000-0000AA070000}"/>
    <cellStyle name="Table du pilote - Titre" xfId="1952" xr:uid="{00000000-0005-0000-0000-0000AB070000}"/>
    <cellStyle name="Table du pilote - Titre 2" xfId="1953" xr:uid="{00000000-0005-0000-0000-0000AC070000}"/>
    <cellStyle name="Table du pilote - Titre 3" xfId="1954" xr:uid="{00000000-0005-0000-0000-0000AD070000}"/>
    <cellStyle name="Table du pilote - Valeur" xfId="1955" xr:uid="{00000000-0005-0000-0000-0000AE070000}"/>
    <cellStyle name="Table du pilote - Valeur 2" xfId="1956" xr:uid="{00000000-0005-0000-0000-0000AF070000}"/>
    <cellStyle name="Table du pilote - Valeur 3" xfId="1957" xr:uid="{00000000-0005-0000-0000-0000B0070000}"/>
    <cellStyle name="tableau | cellule | (normal) | decimal 1" xfId="1958" xr:uid="{00000000-0005-0000-0000-0000B1070000}"/>
    <cellStyle name="tableau | cellule | (normal) | decimal 1 2" xfId="1959" xr:uid="{00000000-0005-0000-0000-0000B2070000}"/>
    <cellStyle name="tableau | cellule | (normal) | decimal 1 2 2" xfId="1960" xr:uid="{00000000-0005-0000-0000-0000B3070000}"/>
    <cellStyle name="tableau | cellule | (normal) | decimal 1 2 2 2" xfId="1961" xr:uid="{00000000-0005-0000-0000-0000B4070000}"/>
    <cellStyle name="tableau | cellule | (normal) | decimal 1 2 2 3" xfId="1962" xr:uid="{00000000-0005-0000-0000-0000B5070000}"/>
    <cellStyle name="tableau | cellule | (normal) | decimal 1 2 3" xfId="1963" xr:uid="{00000000-0005-0000-0000-0000B6070000}"/>
    <cellStyle name="tableau | cellule | (normal) | decimal 1 2 4" xfId="1964" xr:uid="{00000000-0005-0000-0000-0000B7070000}"/>
    <cellStyle name="tableau | cellule | (normal) | decimal 1 3" xfId="1965" xr:uid="{00000000-0005-0000-0000-0000B8070000}"/>
    <cellStyle name="tableau | cellule | (normal) | decimal 1 3 2" xfId="1966" xr:uid="{00000000-0005-0000-0000-0000B9070000}"/>
    <cellStyle name="tableau | cellule | (normal) | decimal 1 3 3" xfId="1967" xr:uid="{00000000-0005-0000-0000-0000BA070000}"/>
    <cellStyle name="tableau | cellule | (normal) | decimal 1 4" xfId="1968" xr:uid="{00000000-0005-0000-0000-0000BB070000}"/>
    <cellStyle name="tableau | cellule | (normal) | decimal 1 4 2" xfId="1969" xr:uid="{00000000-0005-0000-0000-0000BC070000}"/>
    <cellStyle name="tableau | cellule | (normal) | decimal 1 4 3" xfId="1970" xr:uid="{00000000-0005-0000-0000-0000BD070000}"/>
    <cellStyle name="tableau | cellule | (normal) | decimal 1 5" xfId="1971" xr:uid="{00000000-0005-0000-0000-0000BE070000}"/>
    <cellStyle name="tableau | cellule | (normal) | decimal 1 5 2" xfId="1972" xr:uid="{00000000-0005-0000-0000-0000BF070000}"/>
    <cellStyle name="tableau | cellule | (normal) | decimal 1 5 3" xfId="1973" xr:uid="{00000000-0005-0000-0000-0000C0070000}"/>
    <cellStyle name="tableau | cellule | (normal) | decimal 1 6" xfId="1974" xr:uid="{00000000-0005-0000-0000-0000C1070000}"/>
    <cellStyle name="tableau | cellule | (normal) | decimal 1 7" xfId="1975" xr:uid="{00000000-0005-0000-0000-0000C2070000}"/>
    <cellStyle name="tableau | cellule | (normal) | decimal 2" xfId="1976" xr:uid="{00000000-0005-0000-0000-0000C3070000}"/>
    <cellStyle name="tableau | cellule | (normal) | decimal 2 2" xfId="1977" xr:uid="{00000000-0005-0000-0000-0000C4070000}"/>
    <cellStyle name="tableau | cellule | (normal) | decimal 2 2 2" xfId="1978" xr:uid="{00000000-0005-0000-0000-0000C5070000}"/>
    <cellStyle name="tableau | cellule | (normal) | decimal 2 2 2 2" xfId="1979" xr:uid="{00000000-0005-0000-0000-0000C6070000}"/>
    <cellStyle name="tableau | cellule | (normal) | decimal 2 2 2 3" xfId="1980" xr:uid="{00000000-0005-0000-0000-0000C7070000}"/>
    <cellStyle name="tableau | cellule | (normal) | decimal 2 2 3" xfId="1981" xr:uid="{00000000-0005-0000-0000-0000C8070000}"/>
    <cellStyle name="tableau | cellule | (normal) | decimal 2 2 4" xfId="1982" xr:uid="{00000000-0005-0000-0000-0000C9070000}"/>
    <cellStyle name="tableau | cellule | (normal) | decimal 2 3" xfId="1983" xr:uid="{00000000-0005-0000-0000-0000CA070000}"/>
    <cellStyle name="tableau | cellule | (normal) | decimal 2 3 2" xfId="1984" xr:uid="{00000000-0005-0000-0000-0000CB070000}"/>
    <cellStyle name="tableau | cellule | (normal) | decimal 2 3 3" xfId="1985" xr:uid="{00000000-0005-0000-0000-0000CC070000}"/>
    <cellStyle name="tableau | cellule | (normal) | decimal 2 4" xfId="1986" xr:uid="{00000000-0005-0000-0000-0000CD070000}"/>
    <cellStyle name="tableau | cellule | (normal) | decimal 2 4 2" xfId="1987" xr:uid="{00000000-0005-0000-0000-0000CE070000}"/>
    <cellStyle name="tableau | cellule | (normal) | decimal 2 4 3" xfId="1988" xr:uid="{00000000-0005-0000-0000-0000CF070000}"/>
    <cellStyle name="tableau | cellule | (normal) | decimal 2 5" xfId="1989" xr:uid="{00000000-0005-0000-0000-0000D0070000}"/>
    <cellStyle name="tableau | cellule | (normal) | decimal 2 5 2" xfId="1990" xr:uid="{00000000-0005-0000-0000-0000D1070000}"/>
    <cellStyle name="tableau | cellule | (normal) | decimal 2 5 3" xfId="1991" xr:uid="{00000000-0005-0000-0000-0000D2070000}"/>
    <cellStyle name="tableau | cellule | (normal) | decimal 2 6" xfId="1992" xr:uid="{00000000-0005-0000-0000-0000D3070000}"/>
    <cellStyle name="tableau | cellule | (normal) | decimal 2 7" xfId="1993" xr:uid="{00000000-0005-0000-0000-0000D4070000}"/>
    <cellStyle name="tableau | cellule | (normal) | decimal 3" xfId="1994" xr:uid="{00000000-0005-0000-0000-0000D5070000}"/>
    <cellStyle name="tableau | cellule | (normal) | decimal 3 2" xfId="1995" xr:uid="{00000000-0005-0000-0000-0000D6070000}"/>
    <cellStyle name="tableau | cellule | (normal) | decimal 3 2 2" xfId="1996" xr:uid="{00000000-0005-0000-0000-0000D7070000}"/>
    <cellStyle name="tableau | cellule | (normal) | decimal 3 2 2 2" xfId="1997" xr:uid="{00000000-0005-0000-0000-0000D8070000}"/>
    <cellStyle name="tableau | cellule | (normal) | decimal 3 2 2 3" xfId="1998" xr:uid="{00000000-0005-0000-0000-0000D9070000}"/>
    <cellStyle name="tableau | cellule | (normal) | decimal 3 2 3" xfId="1999" xr:uid="{00000000-0005-0000-0000-0000DA070000}"/>
    <cellStyle name="tableau | cellule | (normal) | decimal 3 2 4" xfId="2000" xr:uid="{00000000-0005-0000-0000-0000DB070000}"/>
    <cellStyle name="tableau | cellule | (normal) | decimal 3 3" xfId="2001" xr:uid="{00000000-0005-0000-0000-0000DC070000}"/>
    <cellStyle name="tableau | cellule | (normal) | decimal 3 3 2" xfId="2002" xr:uid="{00000000-0005-0000-0000-0000DD070000}"/>
    <cellStyle name="tableau | cellule | (normal) | decimal 3 3 3" xfId="2003" xr:uid="{00000000-0005-0000-0000-0000DE070000}"/>
    <cellStyle name="tableau | cellule | (normal) | decimal 3 4" xfId="2004" xr:uid="{00000000-0005-0000-0000-0000DF070000}"/>
    <cellStyle name="tableau | cellule | (normal) | decimal 3 4 2" xfId="2005" xr:uid="{00000000-0005-0000-0000-0000E0070000}"/>
    <cellStyle name="tableau | cellule | (normal) | decimal 3 4 3" xfId="2006" xr:uid="{00000000-0005-0000-0000-0000E1070000}"/>
    <cellStyle name="tableau | cellule | (normal) | decimal 3 5" xfId="2007" xr:uid="{00000000-0005-0000-0000-0000E2070000}"/>
    <cellStyle name="tableau | cellule | (normal) | decimal 3 5 2" xfId="2008" xr:uid="{00000000-0005-0000-0000-0000E3070000}"/>
    <cellStyle name="tableau | cellule | (normal) | decimal 3 5 3" xfId="2009" xr:uid="{00000000-0005-0000-0000-0000E4070000}"/>
    <cellStyle name="tableau | cellule | (normal) | decimal 3 6" xfId="2010" xr:uid="{00000000-0005-0000-0000-0000E5070000}"/>
    <cellStyle name="tableau | cellule | (normal) | decimal 3 7" xfId="2011" xr:uid="{00000000-0005-0000-0000-0000E6070000}"/>
    <cellStyle name="tableau | cellule | (normal) | decimal 4" xfId="2012" xr:uid="{00000000-0005-0000-0000-0000E7070000}"/>
    <cellStyle name="tableau | cellule | (normal) | decimal 4 2" xfId="2013" xr:uid="{00000000-0005-0000-0000-0000E8070000}"/>
    <cellStyle name="tableau | cellule | (normal) | decimal 4 2 2" xfId="2014" xr:uid="{00000000-0005-0000-0000-0000E9070000}"/>
    <cellStyle name="tableau | cellule | (normal) | decimal 4 2 2 2" xfId="2015" xr:uid="{00000000-0005-0000-0000-0000EA070000}"/>
    <cellStyle name="tableau | cellule | (normal) | decimal 4 2 2 3" xfId="2016" xr:uid="{00000000-0005-0000-0000-0000EB070000}"/>
    <cellStyle name="tableau | cellule | (normal) | decimal 4 2 3" xfId="2017" xr:uid="{00000000-0005-0000-0000-0000EC070000}"/>
    <cellStyle name="tableau | cellule | (normal) | decimal 4 2 4" xfId="2018" xr:uid="{00000000-0005-0000-0000-0000ED070000}"/>
    <cellStyle name="tableau | cellule | (normal) | decimal 4 3" xfId="2019" xr:uid="{00000000-0005-0000-0000-0000EE070000}"/>
    <cellStyle name="tableau | cellule | (normal) | decimal 4 3 2" xfId="2020" xr:uid="{00000000-0005-0000-0000-0000EF070000}"/>
    <cellStyle name="tableau | cellule | (normal) | decimal 4 3 3" xfId="2021" xr:uid="{00000000-0005-0000-0000-0000F0070000}"/>
    <cellStyle name="tableau | cellule | (normal) | decimal 4 4" xfId="2022" xr:uid="{00000000-0005-0000-0000-0000F1070000}"/>
    <cellStyle name="tableau | cellule | (normal) | decimal 4 4 2" xfId="2023" xr:uid="{00000000-0005-0000-0000-0000F2070000}"/>
    <cellStyle name="tableau | cellule | (normal) | decimal 4 4 3" xfId="2024" xr:uid="{00000000-0005-0000-0000-0000F3070000}"/>
    <cellStyle name="tableau | cellule | (normal) | decimal 4 5" xfId="2025" xr:uid="{00000000-0005-0000-0000-0000F4070000}"/>
    <cellStyle name="tableau | cellule | (normal) | decimal 4 5 2" xfId="2026" xr:uid="{00000000-0005-0000-0000-0000F5070000}"/>
    <cellStyle name="tableau | cellule | (normal) | decimal 4 5 3" xfId="2027" xr:uid="{00000000-0005-0000-0000-0000F6070000}"/>
    <cellStyle name="tableau | cellule | (normal) | decimal 4 6" xfId="2028" xr:uid="{00000000-0005-0000-0000-0000F7070000}"/>
    <cellStyle name="tableau | cellule | (normal) | decimal 4 7" xfId="2029" xr:uid="{00000000-0005-0000-0000-0000F8070000}"/>
    <cellStyle name="tableau | cellule | (normal) | entier" xfId="2030" xr:uid="{00000000-0005-0000-0000-0000F9070000}"/>
    <cellStyle name="tableau | cellule | (normal) | entier 2" xfId="2031" xr:uid="{00000000-0005-0000-0000-0000FA070000}"/>
    <cellStyle name="tableau | cellule | (normal) | entier 2 2" xfId="2032" xr:uid="{00000000-0005-0000-0000-0000FB070000}"/>
    <cellStyle name="tableau | cellule | (normal) | entier 2 2 2" xfId="2033" xr:uid="{00000000-0005-0000-0000-0000FC070000}"/>
    <cellStyle name="tableau | cellule | (normal) | entier 2 2 3" xfId="2034" xr:uid="{00000000-0005-0000-0000-0000FD070000}"/>
    <cellStyle name="tableau | cellule | (normal) | entier 2 3" xfId="2035" xr:uid="{00000000-0005-0000-0000-0000FE070000}"/>
    <cellStyle name="tableau | cellule | (normal) | entier 2 4" xfId="2036" xr:uid="{00000000-0005-0000-0000-0000FF070000}"/>
    <cellStyle name="tableau | cellule | (normal) | entier 3" xfId="2037" xr:uid="{00000000-0005-0000-0000-000000080000}"/>
    <cellStyle name="tableau | cellule | (normal) | entier 3 2" xfId="2038" xr:uid="{00000000-0005-0000-0000-000001080000}"/>
    <cellStyle name="tableau | cellule | (normal) | entier 3 3" xfId="2039" xr:uid="{00000000-0005-0000-0000-000002080000}"/>
    <cellStyle name="tableau | cellule | (normal) | entier 4" xfId="2040" xr:uid="{00000000-0005-0000-0000-000003080000}"/>
    <cellStyle name="tableau | cellule | (normal) | entier 4 2" xfId="2041" xr:uid="{00000000-0005-0000-0000-000004080000}"/>
    <cellStyle name="tableau | cellule | (normal) | entier 4 3" xfId="2042" xr:uid="{00000000-0005-0000-0000-000005080000}"/>
    <cellStyle name="tableau | cellule | (normal) | entier 5" xfId="2043" xr:uid="{00000000-0005-0000-0000-000006080000}"/>
    <cellStyle name="tableau | cellule | (normal) | entier 5 2" xfId="2044" xr:uid="{00000000-0005-0000-0000-000007080000}"/>
    <cellStyle name="tableau | cellule | (normal) | entier 5 3" xfId="2045" xr:uid="{00000000-0005-0000-0000-000008080000}"/>
    <cellStyle name="tableau | cellule | (normal) | entier 6" xfId="2046" xr:uid="{00000000-0005-0000-0000-000009080000}"/>
    <cellStyle name="tableau | cellule | (normal) | entier 7" xfId="2047" xr:uid="{00000000-0005-0000-0000-00000A080000}"/>
    <cellStyle name="tableau | cellule | (normal) | euro | decimal 1" xfId="2048" xr:uid="{00000000-0005-0000-0000-00000B080000}"/>
    <cellStyle name="tableau | cellule | (normal) | euro | decimal 1 2" xfId="2049" xr:uid="{00000000-0005-0000-0000-00000C080000}"/>
    <cellStyle name="tableau | cellule | (normal) | euro | decimal 1 2 2" xfId="2050" xr:uid="{00000000-0005-0000-0000-00000D080000}"/>
    <cellStyle name="tableau | cellule | (normal) | euro | decimal 1 2 2 2" xfId="2051" xr:uid="{00000000-0005-0000-0000-00000E080000}"/>
    <cellStyle name="tableau | cellule | (normal) | euro | decimal 1 2 2 3" xfId="2052" xr:uid="{00000000-0005-0000-0000-00000F080000}"/>
    <cellStyle name="tableau | cellule | (normal) | euro | decimal 1 2 3" xfId="2053" xr:uid="{00000000-0005-0000-0000-000010080000}"/>
    <cellStyle name="tableau | cellule | (normal) | euro | decimal 1 2 4" xfId="2054" xr:uid="{00000000-0005-0000-0000-000011080000}"/>
    <cellStyle name="tableau | cellule | (normal) | euro | decimal 1 3" xfId="2055" xr:uid="{00000000-0005-0000-0000-000012080000}"/>
    <cellStyle name="tableau | cellule | (normal) | euro | decimal 1 3 2" xfId="2056" xr:uid="{00000000-0005-0000-0000-000013080000}"/>
    <cellStyle name="tableau | cellule | (normal) | euro | decimal 1 3 3" xfId="2057" xr:uid="{00000000-0005-0000-0000-000014080000}"/>
    <cellStyle name="tableau | cellule | (normal) | euro | decimal 1 4" xfId="2058" xr:uid="{00000000-0005-0000-0000-000015080000}"/>
    <cellStyle name="tableau | cellule | (normal) | euro | decimal 1 4 2" xfId="2059" xr:uid="{00000000-0005-0000-0000-000016080000}"/>
    <cellStyle name="tableau | cellule | (normal) | euro | decimal 1 4 3" xfId="2060" xr:uid="{00000000-0005-0000-0000-000017080000}"/>
    <cellStyle name="tableau | cellule | (normal) | euro | decimal 1 5" xfId="2061" xr:uid="{00000000-0005-0000-0000-000018080000}"/>
    <cellStyle name="tableau | cellule | (normal) | euro | decimal 1 5 2" xfId="2062" xr:uid="{00000000-0005-0000-0000-000019080000}"/>
    <cellStyle name="tableau | cellule | (normal) | euro | decimal 1 5 3" xfId="2063" xr:uid="{00000000-0005-0000-0000-00001A080000}"/>
    <cellStyle name="tableau | cellule | (normal) | euro | decimal 1 6" xfId="2064" xr:uid="{00000000-0005-0000-0000-00001B080000}"/>
    <cellStyle name="tableau | cellule | (normal) | euro | decimal 1 7" xfId="2065" xr:uid="{00000000-0005-0000-0000-00001C080000}"/>
    <cellStyle name="tableau | cellule | (normal) | euro | decimal 2" xfId="2066" xr:uid="{00000000-0005-0000-0000-00001D080000}"/>
    <cellStyle name="tableau | cellule | (normal) | euro | decimal 2 2" xfId="2067" xr:uid="{00000000-0005-0000-0000-00001E080000}"/>
    <cellStyle name="tableau | cellule | (normal) | euro | decimal 2 2 2" xfId="2068" xr:uid="{00000000-0005-0000-0000-00001F080000}"/>
    <cellStyle name="tableau | cellule | (normal) | euro | decimal 2 2 2 2" xfId="2069" xr:uid="{00000000-0005-0000-0000-000020080000}"/>
    <cellStyle name="tableau | cellule | (normal) | euro | decimal 2 2 2 3" xfId="2070" xr:uid="{00000000-0005-0000-0000-000021080000}"/>
    <cellStyle name="tableau | cellule | (normal) | euro | decimal 2 2 3" xfId="2071" xr:uid="{00000000-0005-0000-0000-000022080000}"/>
    <cellStyle name="tableau | cellule | (normal) | euro | decimal 2 2 4" xfId="2072" xr:uid="{00000000-0005-0000-0000-000023080000}"/>
    <cellStyle name="tableau | cellule | (normal) | euro | decimal 2 3" xfId="2073" xr:uid="{00000000-0005-0000-0000-000024080000}"/>
    <cellStyle name="tableau | cellule | (normal) | euro | decimal 2 3 2" xfId="2074" xr:uid="{00000000-0005-0000-0000-000025080000}"/>
    <cellStyle name="tableau | cellule | (normal) | euro | decimal 2 3 3" xfId="2075" xr:uid="{00000000-0005-0000-0000-000026080000}"/>
    <cellStyle name="tableau | cellule | (normal) | euro | decimal 2 4" xfId="2076" xr:uid="{00000000-0005-0000-0000-000027080000}"/>
    <cellStyle name="tableau | cellule | (normal) | euro | decimal 2 4 2" xfId="2077" xr:uid="{00000000-0005-0000-0000-000028080000}"/>
    <cellStyle name="tableau | cellule | (normal) | euro | decimal 2 4 3" xfId="2078" xr:uid="{00000000-0005-0000-0000-000029080000}"/>
    <cellStyle name="tableau | cellule | (normal) | euro | decimal 2 5" xfId="2079" xr:uid="{00000000-0005-0000-0000-00002A080000}"/>
    <cellStyle name="tableau | cellule | (normal) | euro | decimal 2 5 2" xfId="2080" xr:uid="{00000000-0005-0000-0000-00002B080000}"/>
    <cellStyle name="tableau | cellule | (normal) | euro | decimal 2 5 3" xfId="2081" xr:uid="{00000000-0005-0000-0000-00002C080000}"/>
    <cellStyle name="tableau | cellule | (normal) | euro | decimal 2 6" xfId="2082" xr:uid="{00000000-0005-0000-0000-00002D080000}"/>
    <cellStyle name="tableau | cellule | (normal) | euro | decimal 2 7" xfId="2083" xr:uid="{00000000-0005-0000-0000-00002E080000}"/>
    <cellStyle name="tableau | cellule | (normal) | euro | entier" xfId="2084" xr:uid="{00000000-0005-0000-0000-00002F080000}"/>
    <cellStyle name="tableau | cellule | (normal) | euro | entier 2" xfId="2085" xr:uid="{00000000-0005-0000-0000-000030080000}"/>
    <cellStyle name="tableau | cellule | (normal) | euro | entier 2 2" xfId="2086" xr:uid="{00000000-0005-0000-0000-000031080000}"/>
    <cellStyle name="tableau | cellule | (normal) | euro | entier 2 2 2" xfId="2087" xr:uid="{00000000-0005-0000-0000-000032080000}"/>
    <cellStyle name="tableau | cellule | (normal) | euro | entier 2 2 3" xfId="2088" xr:uid="{00000000-0005-0000-0000-000033080000}"/>
    <cellStyle name="tableau | cellule | (normal) | euro | entier 2 3" xfId="2089" xr:uid="{00000000-0005-0000-0000-000034080000}"/>
    <cellStyle name="tableau | cellule | (normal) | euro | entier 2 4" xfId="2090" xr:uid="{00000000-0005-0000-0000-000035080000}"/>
    <cellStyle name="tableau | cellule | (normal) | euro | entier 3" xfId="2091" xr:uid="{00000000-0005-0000-0000-000036080000}"/>
    <cellStyle name="tableau | cellule | (normal) | euro | entier 3 2" xfId="2092" xr:uid="{00000000-0005-0000-0000-000037080000}"/>
    <cellStyle name="tableau | cellule | (normal) | euro | entier 3 3" xfId="2093" xr:uid="{00000000-0005-0000-0000-000038080000}"/>
    <cellStyle name="tableau | cellule | (normal) | euro | entier 4" xfId="2094" xr:uid="{00000000-0005-0000-0000-000039080000}"/>
    <cellStyle name="tableau | cellule | (normal) | euro | entier 4 2" xfId="2095" xr:uid="{00000000-0005-0000-0000-00003A080000}"/>
    <cellStyle name="tableau | cellule | (normal) | euro | entier 4 3" xfId="2096" xr:uid="{00000000-0005-0000-0000-00003B080000}"/>
    <cellStyle name="tableau | cellule | (normal) | euro | entier 5" xfId="2097" xr:uid="{00000000-0005-0000-0000-00003C080000}"/>
    <cellStyle name="tableau | cellule | (normal) | euro | entier 5 2" xfId="2098" xr:uid="{00000000-0005-0000-0000-00003D080000}"/>
    <cellStyle name="tableau | cellule | (normal) | euro | entier 5 3" xfId="2099" xr:uid="{00000000-0005-0000-0000-00003E080000}"/>
    <cellStyle name="tableau | cellule | (normal) | euro | entier 6" xfId="2100" xr:uid="{00000000-0005-0000-0000-00003F080000}"/>
    <cellStyle name="tableau | cellule | (normal) | euro | entier 7" xfId="2101" xr:uid="{00000000-0005-0000-0000-000040080000}"/>
    <cellStyle name="tableau | cellule | (normal) | franc | decimal 1" xfId="2102" xr:uid="{00000000-0005-0000-0000-000041080000}"/>
    <cellStyle name="tableau | cellule | (normal) | franc | decimal 1 2" xfId="2103" xr:uid="{00000000-0005-0000-0000-000042080000}"/>
    <cellStyle name="tableau | cellule | (normal) | franc | decimal 1 2 2" xfId="2104" xr:uid="{00000000-0005-0000-0000-000043080000}"/>
    <cellStyle name="tableau | cellule | (normal) | franc | decimal 1 2 2 2" xfId="2105" xr:uid="{00000000-0005-0000-0000-000044080000}"/>
    <cellStyle name="tableau | cellule | (normal) | franc | decimal 1 2 2 3" xfId="2106" xr:uid="{00000000-0005-0000-0000-000045080000}"/>
    <cellStyle name="tableau | cellule | (normal) | franc | decimal 1 2 3" xfId="2107" xr:uid="{00000000-0005-0000-0000-000046080000}"/>
    <cellStyle name="tableau | cellule | (normal) | franc | decimal 1 2 4" xfId="2108" xr:uid="{00000000-0005-0000-0000-000047080000}"/>
    <cellStyle name="tableau | cellule | (normal) | franc | decimal 1 3" xfId="2109" xr:uid="{00000000-0005-0000-0000-000048080000}"/>
    <cellStyle name="tableau | cellule | (normal) | franc | decimal 1 3 2" xfId="2110" xr:uid="{00000000-0005-0000-0000-000049080000}"/>
    <cellStyle name="tableau | cellule | (normal) | franc | decimal 1 3 3" xfId="2111" xr:uid="{00000000-0005-0000-0000-00004A080000}"/>
    <cellStyle name="tableau | cellule | (normal) | franc | decimal 1 4" xfId="2112" xr:uid="{00000000-0005-0000-0000-00004B080000}"/>
    <cellStyle name="tableau | cellule | (normal) | franc | decimal 1 4 2" xfId="2113" xr:uid="{00000000-0005-0000-0000-00004C080000}"/>
    <cellStyle name="tableau | cellule | (normal) | franc | decimal 1 4 3" xfId="2114" xr:uid="{00000000-0005-0000-0000-00004D080000}"/>
    <cellStyle name="tableau | cellule | (normal) | franc | decimal 1 5" xfId="2115" xr:uid="{00000000-0005-0000-0000-00004E080000}"/>
    <cellStyle name="tableau | cellule | (normal) | franc | decimal 1 5 2" xfId="2116" xr:uid="{00000000-0005-0000-0000-00004F080000}"/>
    <cellStyle name="tableau | cellule | (normal) | franc | decimal 1 5 3" xfId="2117" xr:uid="{00000000-0005-0000-0000-000050080000}"/>
    <cellStyle name="tableau | cellule | (normal) | franc | decimal 1 6" xfId="2118" xr:uid="{00000000-0005-0000-0000-000051080000}"/>
    <cellStyle name="tableau | cellule | (normal) | franc | decimal 1 7" xfId="2119" xr:uid="{00000000-0005-0000-0000-000052080000}"/>
    <cellStyle name="tableau | cellule | (normal) | franc | decimal 2" xfId="2120" xr:uid="{00000000-0005-0000-0000-000053080000}"/>
    <cellStyle name="tableau | cellule | (normal) | franc | decimal 2 2" xfId="2121" xr:uid="{00000000-0005-0000-0000-000054080000}"/>
    <cellStyle name="tableau | cellule | (normal) | franc | decimal 2 2 2" xfId="2122" xr:uid="{00000000-0005-0000-0000-000055080000}"/>
    <cellStyle name="tableau | cellule | (normal) | franc | decimal 2 2 2 2" xfId="2123" xr:uid="{00000000-0005-0000-0000-000056080000}"/>
    <cellStyle name="tableau | cellule | (normal) | franc | decimal 2 2 2 3" xfId="2124" xr:uid="{00000000-0005-0000-0000-000057080000}"/>
    <cellStyle name="tableau | cellule | (normal) | franc | decimal 2 2 3" xfId="2125" xr:uid="{00000000-0005-0000-0000-000058080000}"/>
    <cellStyle name="tableau | cellule | (normal) | franc | decimal 2 2 4" xfId="2126" xr:uid="{00000000-0005-0000-0000-000059080000}"/>
    <cellStyle name="tableau | cellule | (normal) | franc | decimal 2 3" xfId="2127" xr:uid="{00000000-0005-0000-0000-00005A080000}"/>
    <cellStyle name="tableau | cellule | (normal) | franc | decimal 2 3 2" xfId="2128" xr:uid="{00000000-0005-0000-0000-00005B080000}"/>
    <cellStyle name="tableau | cellule | (normal) | franc | decimal 2 3 3" xfId="2129" xr:uid="{00000000-0005-0000-0000-00005C080000}"/>
    <cellStyle name="tableau | cellule | (normal) | franc | decimal 2 4" xfId="2130" xr:uid="{00000000-0005-0000-0000-00005D080000}"/>
    <cellStyle name="tableau | cellule | (normal) | franc | decimal 2 4 2" xfId="2131" xr:uid="{00000000-0005-0000-0000-00005E080000}"/>
    <cellStyle name="tableau | cellule | (normal) | franc | decimal 2 4 3" xfId="2132" xr:uid="{00000000-0005-0000-0000-00005F080000}"/>
    <cellStyle name="tableau | cellule | (normal) | franc | decimal 2 5" xfId="2133" xr:uid="{00000000-0005-0000-0000-000060080000}"/>
    <cellStyle name="tableau | cellule | (normal) | franc | decimal 2 5 2" xfId="2134" xr:uid="{00000000-0005-0000-0000-000061080000}"/>
    <cellStyle name="tableau | cellule | (normal) | franc | decimal 2 5 3" xfId="2135" xr:uid="{00000000-0005-0000-0000-000062080000}"/>
    <cellStyle name="tableau | cellule | (normal) | franc | decimal 2 6" xfId="2136" xr:uid="{00000000-0005-0000-0000-000063080000}"/>
    <cellStyle name="tableau | cellule | (normal) | franc | decimal 2 7" xfId="2137" xr:uid="{00000000-0005-0000-0000-000064080000}"/>
    <cellStyle name="tableau | cellule | (normal) | franc | entier" xfId="2138" xr:uid="{00000000-0005-0000-0000-000065080000}"/>
    <cellStyle name="tableau | cellule | (normal) | franc | entier 2" xfId="2139" xr:uid="{00000000-0005-0000-0000-000066080000}"/>
    <cellStyle name="tableau | cellule | (normal) | franc | entier 2 2" xfId="2140" xr:uid="{00000000-0005-0000-0000-000067080000}"/>
    <cellStyle name="tableau | cellule | (normal) | franc | entier 2 2 2" xfId="2141" xr:uid="{00000000-0005-0000-0000-000068080000}"/>
    <cellStyle name="tableau | cellule | (normal) | franc | entier 2 2 3" xfId="2142" xr:uid="{00000000-0005-0000-0000-000069080000}"/>
    <cellStyle name="tableau | cellule | (normal) | franc | entier 2 3" xfId="2143" xr:uid="{00000000-0005-0000-0000-00006A080000}"/>
    <cellStyle name="tableau | cellule | (normal) | franc | entier 2 4" xfId="2144" xr:uid="{00000000-0005-0000-0000-00006B080000}"/>
    <cellStyle name="tableau | cellule | (normal) | franc | entier 3" xfId="2145" xr:uid="{00000000-0005-0000-0000-00006C080000}"/>
    <cellStyle name="tableau | cellule | (normal) | franc | entier 3 2" xfId="2146" xr:uid="{00000000-0005-0000-0000-00006D080000}"/>
    <cellStyle name="tableau | cellule | (normal) | franc | entier 3 3" xfId="2147" xr:uid="{00000000-0005-0000-0000-00006E080000}"/>
    <cellStyle name="tableau | cellule | (normal) | franc | entier 4" xfId="2148" xr:uid="{00000000-0005-0000-0000-00006F080000}"/>
    <cellStyle name="tableau | cellule | (normal) | franc | entier 4 2" xfId="2149" xr:uid="{00000000-0005-0000-0000-000070080000}"/>
    <cellStyle name="tableau | cellule | (normal) | franc | entier 4 3" xfId="2150" xr:uid="{00000000-0005-0000-0000-000071080000}"/>
    <cellStyle name="tableau | cellule | (normal) | franc | entier 5" xfId="2151" xr:uid="{00000000-0005-0000-0000-000072080000}"/>
    <cellStyle name="tableau | cellule | (normal) | franc | entier 5 2" xfId="2152" xr:uid="{00000000-0005-0000-0000-000073080000}"/>
    <cellStyle name="tableau | cellule | (normal) | franc | entier 5 3" xfId="2153" xr:uid="{00000000-0005-0000-0000-000074080000}"/>
    <cellStyle name="tableau | cellule | (normal) | franc | entier 6" xfId="2154" xr:uid="{00000000-0005-0000-0000-000075080000}"/>
    <cellStyle name="tableau | cellule | (normal) | franc | entier 7" xfId="2155" xr:uid="{00000000-0005-0000-0000-000076080000}"/>
    <cellStyle name="tableau | cellule | (normal) | pourcentage | decimal 1" xfId="2156" xr:uid="{00000000-0005-0000-0000-000077080000}"/>
    <cellStyle name="tableau | cellule | (normal) | pourcentage | decimal 1 2" xfId="2157" xr:uid="{00000000-0005-0000-0000-000078080000}"/>
    <cellStyle name="tableau | cellule | (normal) | pourcentage | decimal 1 2 2" xfId="2158" xr:uid="{00000000-0005-0000-0000-000079080000}"/>
    <cellStyle name="tableau | cellule | (normal) | pourcentage | decimal 1 2 2 2" xfId="2159" xr:uid="{00000000-0005-0000-0000-00007A080000}"/>
    <cellStyle name="tableau | cellule | (normal) | pourcentage | decimal 1 2 2 3" xfId="2160" xr:uid="{00000000-0005-0000-0000-00007B080000}"/>
    <cellStyle name="tableau | cellule | (normal) | pourcentage | decimal 1 2 3" xfId="2161" xr:uid="{00000000-0005-0000-0000-00007C080000}"/>
    <cellStyle name="tableau | cellule | (normal) | pourcentage | decimal 1 2 4" xfId="2162" xr:uid="{00000000-0005-0000-0000-00007D080000}"/>
    <cellStyle name="tableau | cellule | (normal) | pourcentage | decimal 1 3" xfId="2163" xr:uid="{00000000-0005-0000-0000-00007E080000}"/>
    <cellStyle name="tableau | cellule | (normal) | pourcentage | decimal 1 3 2" xfId="2164" xr:uid="{00000000-0005-0000-0000-00007F080000}"/>
    <cellStyle name="tableau | cellule | (normal) | pourcentage | decimal 1 3 3" xfId="2165" xr:uid="{00000000-0005-0000-0000-000080080000}"/>
    <cellStyle name="tableau | cellule | (normal) | pourcentage | decimal 1 4" xfId="2166" xr:uid="{00000000-0005-0000-0000-000081080000}"/>
    <cellStyle name="tableau | cellule | (normal) | pourcentage | decimal 1 4 2" xfId="2167" xr:uid="{00000000-0005-0000-0000-000082080000}"/>
    <cellStyle name="tableau | cellule | (normal) | pourcentage | decimal 1 4 3" xfId="2168" xr:uid="{00000000-0005-0000-0000-000083080000}"/>
    <cellStyle name="tableau | cellule | (normal) | pourcentage | decimal 1 5" xfId="2169" xr:uid="{00000000-0005-0000-0000-000084080000}"/>
    <cellStyle name="tableau | cellule | (normal) | pourcentage | decimal 1 5 2" xfId="2170" xr:uid="{00000000-0005-0000-0000-000085080000}"/>
    <cellStyle name="tableau | cellule | (normal) | pourcentage | decimal 1 5 3" xfId="2171" xr:uid="{00000000-0005-0000-0000-000086080000}"/>
    <cellStyle name="tableau | cellule | (normal) | pourcentage | decimal 1 6" xfId="2172" xr:uid="{00000000-0005-0000-0000-000087080000}"/>
    <cellStyle name="tableau | cellule | (normal) | pourcentage | decimal 1 7" xfId="2173" xr:uid="{00000000-0005-0000-0000-000088080000}"/>
    <cellStyle name="tableau | cellule | (normal) | pourcentage | decimal 2" xfId="2174" xr:uid="{00000000-0005-0000-0000-000089080000}"/>
    <cellStyle name="tableau | cellule | (normal) | pourcentage | decimal 2 2" xfId="2175" xr:uid="{00000000-0005-0000-0000-00008A080000}"/>
    <cellStyle name="tableau | cellule | (normal) | pourcentage | decimal 2 2 2" xfId="2176" xr:uid="{00000000-0005-0000-0000-00008B080000}"/>
    <cellStyle name="tableau | cellule | (normal) | pourcentage | decimal 2 2 2 2" xfId="2177" xr:uid="{00000000-0005-0000-0000-00008C080000}"/>
    <cellStyle name="tableau | cellule | (normal) | pourcentage | decimal 2 2 2 3" xfId="2178" xr:uid="{00000000-0005-0000-0000-00008D080000}"/>
    <cellStyle name="tableau | cellule | (normal) | pourcentage | decimal 2 2 3" xfId="2179" xr:uid="{00000000-0005-0000-0000-00008E080000}"/>
    <cellStyle name="tableau | cellule | (normal) | pourcentage | decimal 2 2 4" xfId="2180" xr:uid="{00000000-0005-0000-0000-00008F080000}"/>
    <cellStyle name="tableau | cellule | (normal) | pourcentage | decimal 2 3" xfId="2181" xr:uid="{00000000-0005-0000-0000-000090080000}"/>
    <cellStyle name="tableau | cellule | (normal) | pourcentage | decimal 2 3 2" xfId="2182" xr:uid="{00000000-0005-0000-0000-000091080000}"/>
    <cellStyle name="tableau | cellule | (normal) | pourcentage | decimal 2 3 3" xfId="2183" xr:uid="{00000000-0005-0000-0000-000092080000}"/>
    <cellStyle name="tableau | cellule | (normal) | pourcentage | decimal 2 4" xfId="2184" xr:uid="{00000000-0005-0000-0000-000093080000}"/>
    <cellStyle name="tableau | cellule | (normal) | pourcentage | decimal 2 4 2" xfId="2185" xr:uid="{00000000-0005-0000-0000-000094080000}"/>
    <cellStyle name="tableau | cellule | (normal) | pourcentage | decimal 2 4 3" xfId="2186" xr:uid="{00000000-0005-0000-0000-000095080000}"/>
    <cellStyle name="tableau | cellule | (normal) | pourcentage | decimal 2 5" xfId="2187" xr:uid="{00000000-0005-0000-0000-000096080000}"/>
    <cellStyle name="tableau | cellule | (normal) | pourcentage | decimal 2 5 2" xfId="2188" xr:uid="{00000000-0005-0000-0000-000097080000}"/>
    <cellStyle name="tableau | cellule | (normal) | pourcentage | decimal 2 5 3" xfId="2189" xr:uid="{00000000-0005-0000-0000-000098080000}"/>
    <cellStyle name="tableau | cellule | (normal) | pourcentage | decimal 2 6" xfId="2190" xr:uid="{00000000-0005-0000-0000-000099080000}"/>
    <cellStyle name="tableau | cellule | (normal) | pourcentage | decimal 2 7" xfId="2191" xr:uid="{00000000-0005-0000-0000-00009A080000}"/>
    <cellStyle name="tableau | cellule | (normal) | pourcentage | entier" xfId="2192" xr:uid="{00000000-0005-0000-0000-00009B080000}"/>
    <cellStyle name="tableau | cellule | (normal) | pourcentage | entier 2" xfId="2193" xr:uid="{00000000-0005-0000-0000-00009C080000}"/>
    <cellStyle name="tableau | cellule | (normal) | pourcentage | entier 2 2" xfId="2194" xr:uid="{00000000-0005-0000-0000-00009D080000}"/>
    <cellStyle name="tableau | cellule | (normal) | pourcentage | entier 2 2 2" xfId="2195" xr:uid="{00000000-0005-0000-0000-00009E080000}"/>
    <cellStyle name="tableau | cellule | (normal) | pourcentage | entier 2 2 3" xfId="2196" xr:uid="{00000000-0005-0000-0000-00009F080000}"/>
    <cellStyle name="tableau | cellule | (normal) | pourcentage | entier 2 3" xfId="2197" xr:uid="{00000000-0005-0000-0000-0000A0080000}"/>
    <cellStyle name="tableau | cellule | (normal) | pourcentage | entier 2 4" xfId="2198" xr:uid="{00000000-0005-0000-0000-0000A1080000}"/>
    <cellStyle name="tableau | cellule | (normal) | pourcentage | entier 3" xfId="2199" xr:uid="{00000000-0005-0000-0000-0000A2080000}"/>
    <cellStyle name="tableau | cellule | (normal) | pourcentage | entier 3 2" xfId="2200" xr:uid="{00000000-0005-0000-0000-0000A3080000}"/>
    <cellStyle name="tableau | cellule | (normal) | pourcentage | entier 3 3" xfId="2201" xr:uid="{00000000-0005-0000-0000-0000A4080000}"/>
    <cellStyle name="tableau | cellule | (normal) | pourcentage | entier 4" xfId="2202" xr:uid="{00000000-0005-0000-0000-0000A5080000}"/>
    <cellStyle name="tableau | cellule | (normal) | pourcentage | entier 4 2" xfId="2203" xr:uid="{00000000-0005-0000-0000-0000A6080000}"/>
    <cellStyle name="tableau | cellule | (normal) | pourcentage | entier 4 3" xfId="2204" xr:uid="{00000000-0005-0000-0000-0000A7080000}"/>
    <cellStyle name="tableau | cellule | (normal) | pourcentage | entier 5" xfId="2205" xr:uid="{00000000-0005-0000-0000-0000A8080000}"/>
    <cellStyle name="tableau | cellule | (normal) | pourcentage | entier 5 2" xfId="2206" xr:uid="{00000000-0005-0000-0000-0000A9080000}"/>
    <cellStyle name="tableau | cellule | (normal) | pourcentage | entier 5 3" xfId="2207" xr:uid="{00000000-0005-0000-0000-0000AA080000}"/>
    <cellStyle name="tableau | cellule | (normal) | pourcentage | entier 6" xfId="2208" xr:uid="{00000000-0005-0000-0000-0000AB080000}"/>
    <cellStyle name="tableau | cellule | (normal) | pourcentage | entier 7" xfId="2209" xr:uid="{00000000-0005-0000-0000-0000AC080000}"/>
    <cellStyle name="tableau | cellule | (normal) | standard" xfId="2210" xr:uid="{00000000-0005-0000-0000-0000AD080000}"/>
    <cellStyle name="tableau | cellule | (normal) | standard 2" xfId="2211" xr:uid="{00000000-0005-0000-0000-0000AE080000}"/>
    <cellStyle name="tableau | cellule | (normal) | standard 2 2" xfId="2212" xr:uid="{00000000-0005-0000-0000-0000AF080000}"/>
    <cellStyle name="tableau | cellule | (normal) | standard 2 2 2" xfId="2213" xr:uid="{00000000-0005-0000-0000-0000B0080000}"/>
    <cellStyle name="tableau | cellule | (normal) | standard 2 2 3" xfId="2214" xr:uid="{00000000-0005-0000-0000-0000B1080000}"/>
    <cellStyle name="tableau | cellule | (normal) | standard 2 3" xfId="2215" xr:uid="{00000000-0005-0000-0000-0000B2080000}"/>
    <cellStyle name="tableau | cellule | (normal) | standard 2 4" xfId="2216" xr:uid="{00000000-0005-0000-0000-0000B3080000}"/>
    <cellStyle name="tableau | cellule | (normal) | standard 3" xfId="2217" xr:uid="{00000000-0005-0000-0000-0000B4080000}"/>
    <cellStyle name="tableau | cellule | (normal) | standard 3 2" xfId="2218" xr:uid="{00000000-0005-0000-0000-0000B5080000}"/>
    <cellStyle name="tableau | cellule | (normal) | standard 3 3" xfId="2219" xr:uid="{00000000-0005-0000-0000-0000B6080000}"/>
    <cellStyle name="tableau | cellule | (normal) | standard 4" xfId="2220" xr:uid="{00000000-0005-0000-0000-0000B7080000}"/>
    <cellStyle name="tableau | cellule | (normal) | standard 4 2" xfId="2221" xr:uid="{00000000-0005-0000-0000-0000B8080000}"/>
    <cellStyle name="tableau | cellule | (normal) | standard 4 3" xfId="2222" xr:uid="{00000000-0005-0000-0000-0000B9080000}"/>
    <cellStyle name="tableau | cellule | (normal) | standard 5" xfId="2223" xr:uid="{00000000-0005-0000-0000-0000BA080000}"/>
    <cellStyle name="tableau | cellule | (normal) | standard 5 2" xfId="2224" xr:uid="{00000000-0005-0000-0000-0000BB080000}"/>
    <cellStyle name="tableau | cellule | (normal) | standard 5 3" xfId="2225" xr:uid="{00000000-0005-0000-0000-0000BC080000}"/>
    <cellStyle name="tableau | cellule | (normal) | standard 6" xfId="2226" xr:uid="{00000000-0005-0000-0000-0000BD080000}"/>
    <cellStyle name="tableau | cellule | (normal) | standard 7" xfId="2227" xr:uid="{00000000-0005-0000-0000-0000BE080000}"/>
    <cellStyle name="tableau | cellule | (normal) | texte" xfId="2228" xr:uid="{00000000-0005-0000-0000-0000BF080000}"/>
    <cellStyle name="tableau | cellule | (normal) | texte 2" xfId="2229" xr:uid="{00000000-0005-0000-0000-0000C0080000}"/>
    <cellStyle name="tableau | cellule | (normal) | texte 2 2" xfId="2230" xr:uid="{00000000-0005-0000-0000-0000C1080000}"/>
    <cellStyle name="tableau | cellule | (normal) | texte 2 2 2" xfId="2231" xr:uid="{00000000-0005-0000-0000-0000C2080000}"/>
    <cellStyle name="tableau | cellule | (normal) | texte 2 2 3" xfId="2232" xr:uid="{00000000-0005-0000-0000-0000C3080000}"/>
    <cellStyle name="tableau | cellule | (normal) | texte 2 3" xfId="2233" xr:uid="{00000000-0005-0000-0000-0000C4080000}"/>
    <cellStyle name="tableau | cellule | (normal) | texte 2 4" xfId="2234" xr:uid="{00000000-0005-0000-0000-0000C5080000}"/>
    <cellStyle name="tableau | cellule | (normal) | texte 3" xfId="2235" xr:uid="{00000000-0005-0000-0000-0000C6080000}"/>
    <cellStyle name="tableau | cellule | (normal) | texte 3 2" xfId="2236" xr:uid="{00000000-0005-0000-0000-0000C7080000}"/>
    <cellStyle name="tableau | cellule | (normal) | texte 3 3" xfId="2237" xr:uid="{00000000-0005-0000-0000-0000C8080000}"/>
    <cellStyle name="tableau | cellule | (normal) | texte 4" xfId="2238" xr:uid="{00000000-0005-0000-0000-0000C9080000}"/>
    <cellStyle name="tableau | cellule | (normal) | texte 4 2" xfId="2239" xr:uid="{00000000-0005-0000-0000-0000CA080000}"/>
    <cellStyle name="tableau | cellule | (normal) | texte 4 3" xfId="2240" xr:uid="{00000000-0005-0000-0000-0000CB080000}"/>
    <cellStyle name="tableau | cellule | (normal) | texte 5" xfId="2241" xr:uid="{00000000-0005-0000-0000-0000CC080000}"/>
    <cellStyle name="tableau | cellule | (normal) | texte 5 2" xfId="2242" xr:uid="{00000000-0005-0000-0000-0000CD080000}"/>
    <cellStyle name="tableau | cellule | (normal) | texte 5 3" xfId="2243" xr:uid="{00000000-0005-0000-0000-0000CE080000}"/>
    <cellStyle name="tableau | cellule | (normal) | texte 6" xfId="2244" xr:uid="{00000000-0005-0000-0000-0000CF080000}"/>
    <cellStyle name="tableau | cellule | (normal) | texte 7" xfId="2245" xr:uid="{00000000-0005-0000-0000-0000D0080000}"/>
    <cellStyle name="tableau | cellule | (total) | decimal 1" xfId="2246" xr:uid="{00000000-0005-0000-0000-0000D1080000}"/>
    <cellStyle name="tableau | cellule | (total) | decimal 1 2" xfId="2247" xr:uid="{00000000-0005-0000-0000-0000D2080000}"/>
    <cellStyle name="tableau | cellule | (total) | decimal 1 2 2" xfId="2248" xr:uid="{00000000-0005-0000-0000-0000D3080000}"/>
    <cellStyle name="tableau | cellule | (total) | decimal 1 2 3" xfId="2249" xr:uid="{00000000-0005-0000-0000-0000D4080000}"/>
    <cellStyle name="tableau | cellule | (total) | decimal 1 3" xfId="2250" xr:uid="{00000000-0005-0000-0000-0000D5080000}"/>
    <cellStyle name="tableau | cellule | (total) | decimal 1 3 2" xfId="2251" xr:uid="{00000000-0005-0000-0000-0000D6080000}"/>
    <cellStyle name="tableau | cellule | (total) | decimal 1 3 3" xfId="2252" xr:uid="{00000000-0005-0000-0000-0000D7080000}"/>
    <cellStyle name="tableau | cellule | (total) | decimal 1 4" xfId="2253" xr:uid="{00000000-0005-0000-0000-0000D8080000}"/>
    <cellStyle name="tableau | cellule | (total) | decimal 1 4 2" xfId="2254" xr:uid="{00000000-0005-0000-0000-0000D9080000}"/>
    <cellStyle name="tableau | cellule | (total) | decimal 1 4 3" xfId="2255" xr:uid="{00000000-0005-0000-0000-0000DA080000}"/>
    <cellStyle name="tableau | cellule | (total) | decimal 1 5" xfId="2256" xr:uid="{00000000-0005-0000-0000-0000DB080000}"/>
    <cellStyle name="tableau | cellule | (total) | decimal 1 5 2" xfId="2257" xr:uid="{00000000-0005-0000-0000-0000DC080000}"/>
    <cellStyle name="tableau | cellule | (total) | decimal 1 5 3" xfId="2258" xr:uid="{00000000-0005-0000-0000-0000DD080000}"/>
    <cellStyle name="tableau | cellule | (total) | decimal 1 6" xfId="2259" xr:uid="{00000000-0005-0000-0000-0000DE080000}"/>
    <cellStyle name="tableau | cellule | (total) | decimal 1 7" xfId="2260" xr:uid="{00000000-0005-0000-0000-0000DF080000}"/>
    <cellStyle name="tableau | cellule | (total) | decimal 2" xfId="2261" xr:uid="{00000000-0005-0000-0000-0000E0080000}"/>
    <cellStyle name="tableau | cellule | (total) | decimal 2 2" xfId="2262" xr:uid="{00000000-0005-0000-0000-0000E1080000}"/>
    <cellStyle name="tableau | cellule | (total) | decimal 2 2 2" xfId="2263" xr:uid="{00000000-0005-0000-0000-0000E2080000}"/>
    <cellStyle name="tableau | cellule | (total) | decimal 2 2 3" xfId="2264" xr:uid="{00000000-0005-0000-0000-0000E3080000}"/>
    <cellStyle name="tableau | cellule | (total) | decimal 2 3" xfId="2265" xr:uid="{00000000-0005-0000-0000-0000E4080000}"/>
    <cellStyle name="tableau | cellule | (total) | decimal 2 3 2" xfId="2266" xr:uid="{00000000-0005-0000-0000-0000E5080000}"/>
    <cellStyle name="tableau | cellule | (total) | decimal 2 3 3" xfId="2267" xr:uid="{00000000-0005-0000-0000-0000E6080000}"/>
    <cellStyle name="tableau | cellule | (total) | decimal 2 4" xfId="2268" xr:uid="{00000000-0005-0000-0000-0000E7080000}"/>
    <cellStyle name="tableau | cellule | (total) | decimal 2 4 2" xfId="2269" xr:uid="{00000000-0005-0000-0000-0000E8080000}"/>
    <cellStyle name="tableau | cellule | (total) | decimal 2 4 3" xfId="2270" xr:uid="{00000000-0005-0000-0000-0000E9080000}"/>
    <cellStyle name="tableau | cellule | (total) | decimal 2 5" xfId="2271" xr:uid="{00000000-0005-0000-0000-0000EA080000}"/>
    <cellStyle name="tableau | cellule | (total) | decimal 2 5 2" xfId="2272" xr:uid="{00000000-0005-0000-0000-0000EB080000}"/>
    <cellStyle name="tableau | cellule | (total) | decimal 2 5 3" xfId="2273" xr:uid="{00000000-0005-0000-0000-0000EC080000}"/>
    <cellStyle name="tableau | cellule | (total) | decimal 2 6" xfId="2274" xr:uid="{00000000-0005-0000-0000-0000ED080000}"/>
    <cellStyle name="tableau | cellule | (total) | decimal 2 7" xfId="2275" xr:uid="{00000000-0005-0000-0000-0000EE080000}"/>
    <cellStyle name="tableau | cellule | (total) | decimal 3" xfId="2276" xr:uid="{00000000-0005-0000-0000-0000EF080000}"/>
    <cellStyle name="tableau | cellule | (total) | decimal 3 2" xfId="2277" xr:uid="{00000000-0005-0000-0000-0000F0080000}"/>
    <cellStyle name="tableau | cellule | (total) | decimal 3 2 2" xfId="2278" xr:uid="{00000000-0005-0000-0000-0000F1080000}"/>
    <cellStyle name="tableau | cellule | (total) | decimal 3 2 3" xfId="2279" xr:uid="{00000000-0005-0000-0000-0000F2080000}"/>
    <cellStyle name="tableau | cellule | (total) | decimal 3 3" xfId="2280" xr:uid="{00000000-0005-0000-0000-0000F3080000}"/>
    <cellStyle name="tableau | cellule | (total) | decimal 3 3 2" xfId="2281" xr:uid="{00000000-0005-0000-0000-0000F4080000}"/>
    <cellStyle name="tableau | cellule | (total) | decimal 3 3 3" xfId="2282" xr:uid="{00000000-0005-0000-0000-0000F5080000}"/>
    <cellStyle name="tableau | cellule | (total) | decimal 3 4" xfId="2283" xr:uid="{00000000-0005-0000-0000-0000F6080000}"/>
    <cellStyle name="tableau | cellule | (total) | decimal 3 4 2" xfId="2284" xr:uid="{00000000-0005-0000-0000-0000F7080000}"/>
    <cellStyle name="tableau | cellule | (total) | decimal 3 4 3" xfId="2285" xr:uid="{00000000-0005-0000-0000-0000F8080000}"/>
    <cellStyle name="tableau | cellule | (total) | decimal 3 5" xfId="2286" xr:uid="{00000000-0005-0000-0000-0000F9080000}"/>
    <cellStyle name="tableau | cellule | (total) | decimal 3 5 2" xfId="2287" xr:uid="{00000000-0005-0000-0000-0000FA080000}"/>
    <cellStyle name="tableau | cellule | (total) | decimal 3 5 3" xfId="2288" xr:uid="{00000000-0005-0000-0000-0000FB080000}"/>
    <cellStyle name="tableau | cellule | (total) | decimal 3 6" xfId="2289" xr:uid="{00000000-0005-0000-0000-0000FC080000}"/>
    <cellStyle name="tableau | cellule | (total) | decimal 3 7" xfId="2290" xr:uid="{00000000-0005-0000-0000-0000FD080000}"/>
    <cellStyle name="tableau | cellule | (total) | decimal 4" xfId="2291" xr:uid="{00000000-0005-0000-0000-0000FE080000}"/>
    <cellStyle name="tableau | cellule | (total) | decimal 4 2" xfId="2292" xr:uid="{00000000-0005-0000-0000-0000FF080000}"/>
    <cellStyle name="tableau | cellule | (total) | decimal 4 2 2" xfId="2293" xr:uid="{00000000-0005-0000-0000-000000090000}"/>
    <cellStyle name="tableau | cellule | (total) | decimal 4 2 3" xfId="2294" xr:uid="{00000000-0005-0000-0000-000001090000}"/>
    <cellStyle name="tableau | cellule | (total) | decimal 4 3" xfId="2295" xr:uid="{00000000-0005-0000-0000-000002090000}"/>
    <cellStyle name="tableau | cellule | (total) | decimal 4 3 2" xfId="2296" xr:uid="{00000000-0005-0000-0000-000003090000}"/>
    <cellStyle name="tableau | cellule | (total) | decimal 4 3 3" xfId="2297" xr:uid="{00000000-0005-0000-0000-000004090000}"/>
    <cellStyle name="tableau | cellule | (total) | decimal 4 4" xfId="2298" xr:uid="{00000000-0005-0000-0000-000005090000}"/>
    <cellStyle name="tableau | cellule | (total) | decimal 4 4 2" xfId="2299" xr:uid="{00000000-0005-0000-0000-000006090000}"/>
    <cellStyle name="tableau | cellule | (total) | decimal 4 4 3" xfId="2300" xr:uid="{00000000-0005-0000-0000-000007090000}"/>
    <cellStyle name="tableau | cellule | (total) | decimal 4 5" xfId="2301" xr:uid="{00000000-0005-0000-0000-000008090000}"/>
    <cellStyle name="tableau | cellule | (total) | decimal 4 5 2" xfId="2302" xr:uid="{00000000-0005-0000-0000-000009090000}"/>
    <cellStyle name="tableau | cellule | (total) | decimal 4 5 3" xfId="2303" xr:uid="{00000000-0005-0000-0000-00000A090000}"/>
    <cellStyle name="tableau | cellule | (total) | decimal 4 6" xfId="2304" xr:uid="{00000000-0005-0000-0000-00000B090000}"/>
    <cellStyle name="tableau | cellule | (total) | decimal 4 7" xfId="2305" xr:uid="{00000000-0005-0000-0000-00000C090000}"/>
    <cellStyle name="tableau | cellule | (total) | entier" xfId="2306" xr:uid="{00000000-0005-0000-0000-00000D090000}"/>
    <cellStyle name="tableau | cellule | (total) | entier 2" xfId="2307" xr:uid="{00000000-0005-0000-0000-00000E090000}"/>
    <cellStyle name="tableau | cellule | (total) | entier 2 2" xfId="2308" xr:uid="{00000000-0005-0000-0000-00000F090000}"/>
    <cellStyle name="tableau | cellule | (total) | entier 2 3" xfId="2309" xr:uid="{00000000-0005-0000-0000-000010090000}"/>
    <cellStyle name="tableau | cellule | (total) | entier 3" xfId="2310" xr:uid="{00000000-0005-0000-0000-000011090000}"/>
    <cellStyle name="tableau | cellule | (total) | entier 3 2" xfId="2311" xr:uid="{00000000-0005-0000-0000-000012090000}"/>
    <cellStyle name="tableau | cellule | (total) | entier 3 3" xfId="2312" xr:uid="{00000000-0005-0000-0000-000013090000}"/>
    <cellStyle name="tableau | cellule | (total) | entier 4" xfId="2313" xr:uid="{00000000-0005-0000-0000-000014090000}"/>
    <cellStyle name="tableau | cellule | (total) | entier 4 2" xfId="2314" xr:uid="{00000000-0005-0000-0000-000015090000}"/>
    <cellStyle name="tableau | cellule | (total) | entier 4 3" xfId="2315" xr:uid="{00000000-0005-0000-0000-000016090000}"/>
    <cellStyle name="tableau | cellule | (total) | entier 5" xfId="2316" xr:uid="{00000000-0005-0000-0000-000017090000}"/>
    <cellStyle name="tableau | cellule | (total) | entier 5 2" xfId="2317" xr:uid="{00000000-0005-0000-0000-000018090000}"/>
    <cellStyle name="tableau | cellule | (total) | entier 5 3" xfId="2318" xr:uid="{00000000-0005-0000-0000-000019090000}"/>
    <cellStyle name="tableau | cellule | (total) | entier 6" xfId="2319" xr:uid="{00000000-0005-0000-0000-00001A090000}"/>
    <cellStyle name="tableau | cellule | (total) | entier 7" xfId="2320" xr:uid="{00000000-0005-0000-0000-00001B090000}"/>
    <cellStyle name="tableau | cellule | (total) | euro | decimal 1" xfId="2321" xr:uid="{00000000-0005-0000-0000-00001C090000}"/>
    <cellStyle name="tableau | cellule | (total) | euro | decimal 1 2" xfId="2322" xr:uid="{00000000-0005-0000-0000-00001D090000}"/>
    <cellStyle name="tableau | cellule | (total) | euro | decimal 1 2 2" xfId="2323" xr:uid="{00000000-0005-0000-0000-00001E090000}"/>
    <cellStyle name="tableau | cellule | (total) | euro | decimal 1 2 3" xfId="2324" xr:uid="{00000000-0005-0000-0000-00001F090000}"/>
    <cellStyle name="tableau | cellule | (total) | euro | decimal 1 3" xfId="2325" xr:uid="{00000000-0005-0000-0000-000020090000}"/>
    <cellStyle name="tableau | cellule | (total) | euro | decimal 1 3 2" xfId="2326" xr:uid="{00000000-0005-0000-0000-000021090000}"/>
    <cellStyle name="tableau | cellule | (total) | euro | decimal 1 3 3" xfId="2327" xr:uid="{00000000-0005-0000-0000-000022090000}"/>
    <cellStyle name="tableau | cellule | (total) | euro | decimal 1 4" xfId="2328" xr:uid="{00000000-0005-0000-0000-000023090000}"/>
    <cellStyle name="tableau | cellule | (total) | euro | decimal 1 4 2" xfId="2329" xr:uid="{00000000-0005-0000-0000-000024090000}"/>
    <cellStyle name="tableau | cellule | (total) | euro | decimal 1 4 3" xfId="2330" xr:uid="{00000000-0005-0000-0000-000025090000}"/>
    <cellStyle name="tableau | cellule | (total) | euro | decimal 1 5" xfId="2331" xr:uid="{00000000-0005-0000-0000-000026090000}"/>
    <cellStyle name="tableau | cellule | (total) | euro | decimal 1 5 2" xfId="2332" xr:uid="{00000000-0005-0000-0000-000027090000}"/>
    <cellStyle name="tableau | cellule | (total) | euro | decimal 1 5 3" xfId="2333" xr:uid="{00000000-0005-0000-0000-000028090000}"/>
    <cellStyle name="tableau | cellule | (total) | euro | decimal 1 6" xfId="2334" xr:uid="{00000000-0005-0000-0000-000029090000}"/>
    <cellStyle name="tableau | cellule | (total) | euro | decimal 1 7" xfId="2335" xr:uid="{00000000-0005-0000-0000-00002A090000}"/>
    <cellStyle name="tableau | cellule | (total) | euro | decimal 2" xfId="2336" xr:uid="{00000000-0005-0000-0000-00002B090000}"/>
    <cellStyle name="tableau | cellule | (total) | euro | decimal 2 2" xfId="2337" xr:uid="{00000000-0005-0000-0000-00002C090000}"/>
    <cellStyle name="tableau | cellule | (total) | euro | decimal 2 2 2" xfId="2338" xr:uid="{00000000-0005-0000-0000-00002D090000}"/>
    <cellStyle name="tableau | cellule | (total) | euro | decimal 2 2 3" xfId="2339" xr:uid="{00000000-0005-0000-0000-00002E090000}"/>
    <cellStyle name="tableau | cellule | (total) | euro | decimal 2 3" xfId="2340" xr:uid="{00000000-0005-0000-0000-00002F090000}"/>
    <cellStyle name="tableau | cellule | (total) | euro | decimal 2 3 2" xfId="2341" xr:uid="{00000000-0005-0000-0000-000030090000}"/>
    <cellStyle name="tableau | cellule | (total) | euro | decimal 2 3 3" xfId="2342" xr:uid="{00000000-0005-0000-0000-000031090000}"/>
    <cellStyle name="tableau | cellule | (total) | euro | decimal 2 4" xfId="2343" xr:uid="{00000000-0005-0000-0000-000032090000}"/>
    <cellStyle name="tableau | cellule | (total) | euro | decimal 2 4 2" xfId="2344" xr:uid="{00000000-0005-0000-0000-000033090000}"/>
    <cellStyle name="tableau | cellule | (total) | euro | decimal 2 4 3" xfId="2345" xr:uid="{00000000-0005-0000-0000-000034090000}"/>
    <cellStyle name="tableau | cellule | (total) | euro | decimal 2 5" xfId="2346" xr:uid="{00000000-0005-0000-0000-000035090000}"/>
    <cellStyle name="tableau | cellule | (total) | euro | decimal 2 5 2" xfId="2347" xr:uid="{00000000-0005-0000-0000-000036090000}"/>
    <cellStyle name="tableau | cellule | (total) | euro | decimal 2 5 3" xfId="2348" xr:uid="{00000000-0005-0000-0000-000037090000}"/>
    <cellStyle name="tableau | cellule | (total) | euro | decimal 2 6" xfId="2349" xr:uid="{00000000-0005-0000-0000-000038090000}"/>
    <cellStyle name="tableau | cellule | (total) | euro | decimal 2 7" xfId="2350" xr:uid="{00000000-0005-0000-0000-000039090000}"/>
    <cellStyle name="tableau | cellule | (total) | euro | entier" xfId="2351" xr:uid="{00000000-0005-0000-0000-00003A090000}"/>
    <cellStyle name="tableau | cellule | (total) | euro | entier 2" xfId="2352" xr:uid="{00000000-0005-0000-0000-00003B090000}"/>
    <cellStyle name="tableau | cellule | (total) | euro | entier 2 2" xfId="2353" xr:uid="{00000000-0005-0000-0000-00003C090000}"/>
    <cellStyle name="tableau | cellule | (total) | euro | entier 2 3" xfId="2354" xr:uid="{00000000-0005-0000-0000-00003D090000}"/>
    <cellStyle name="tableau | cellule | (total) | euro | entier 3" xfId="2355" xr:uid="{00000000-0005-0000-0000-00003E090000}"/>
    <cellStyle name="tableau | cellule | (total) | euro | entier 3 2" xfId="2356" xr:uid="{00000000-0005-0000-0000-00003F090000}"/>
    <cellStyle name="tableau | cellule | (total) | euro | entier 3 3" xfId="2357" xr:uid="{00000000-0005-0000-0000-000040090000}"/>
    <cellStyle name="tableau | cellule | (total) | euro | entier 4" xfId="2358" xr:uid="{00000000-0005-0000-0000-000041090000}"/>
    <cellStyle name="tableau | cellule | (total) | euro | entier 4 2" xfId="2359" xr:uid="{00000000-0005-0000-0000-000042090000}"/>
    <cellStyle name="tableau | cellule | (total) | euro | entier 4 3" xfId="2360" xr:uid="{00000000-0005-0000-0000-000043090000}"/>
    <cellStyle name="tableau | cellule | (total) | euro | entier 5" xfId="2361" xr:uid="{00000000-0005-0000-0000-000044090000}"/>
    <cellStyle name="tableau | cellule | (total) | euro | entier 5 2" xfId="2362" xr:uid="{00000000-0005-0000-0000-000045090000}"/>
    <cellStyle name="tableau | cellule | (total) | euro | entier 5 3" xfId="2363" xr:uid="{00000000-0005-0000-0000-000046090000}"/>
    <cellStyle name="tableau | cellule | (total) | euro | entier 6" xfId="2364" xr:uid="{00000000-0005-0000-0000-000047090000}"/>
    <cellStyle name="tableau | cellule | (total) | euro | entier 7" xfId="2365" xr:uid="{00000000-0005-0000-0000-000048090000}"/>
    <cellStyle name="tableau | cellule | (total) | franc | decimal 1" xfId="2366" xr:uid="{00000000-0005-0000-0000-000049090000}"/>
    <cellStyle name="tableau | cellule | (total) | franc | decimal 1 2" xfId="2367" xr:uid="{00000000-0005-0000-0000-00004A090000}"/>
    <cellStyle name="tableau | cellule | (total) | franc | decimal 1 2 2" xfId="2368" xr:uid="{00000000-0005-0000-0000-00004B090000}"/>
    <cellStyle name="tableau | cellule | (total) | franc | decimal 1 2 3" xfId="2369" xr:uid="{00000000-0005-0000-0000-00004C090000}"/>
    <cellStyle name="tableau | cellule | (total) | franc | decimal 1 3" xfId="2370" xr:uid="{00000000-0005-0000-0000-00004D090000}"/>
    <cellStyle name="tableau | cellule | (total) | franc | decimal 1 3 2" xfId="2371" xr:uid="{00000000-0005-0000-0000-00004E090000}"/>
    <cellStyle name="tableau | cellule | (total) | franc | decimal 1 3 3" xfId="2372" xr:uid="{00000000-0005-0000-0000-00004F090000}"/>
    <cellStyle name="tableau | cellule | (total) | franc | decimal 1 4" xfId="2373" xr:uid="{00000000-0005-0000-0000-000050090000}"/>
    <cellStyle name="tableau | cellule | (total) | franc | decimal 1 4 2" xfId="2374" xr:uid="{00000000-0005-0000-0000-000051090000}"/>
    <cellStyle name="tableau | cellule | (total) | franc | decimal 1 4 3" xfId="2375" xr:uid="{00000000-0005-0000-0000-000052090000}"/>
    <cellStyle name="tableau | cellule | (total) | franc | decimal 1 5" xfId="2376" xr:uid="{00000000-0005-0000-0000-000053090000}"/>
    <cellStyle name="tableau | cellule | (total) | franc | decimal 1 5 2" xfId="2377" xr:uid="{00000000-0005-0000-0000-000054090000}"/>
    <cellStyle name="tableau | cellule | (total) | franc | decimal 1 5 3" xfId="2378" xr:uid="{00000000-0005-0000-0000-000055090000}"/>
    <cellStyle name="tableau | cellule | (total) | franc | decimal 1 6" xfId="2379" xr:uid="{00000000-0005-0000-0000-000056090000}"/>
    <cellStyle name="tableau | cellule | (total) | franc | decimal 1 7" xfId="2380" xr:uid="{00000000-0005-0000-0000-000057090000}"/>
    <cellStyle name="tableau | cellule | (total) | franc | decimal 2" xfId="2381" xr:uid="{00000000-0005-0000-0000-000058090000}"/>
    <cellStyle name="tableau | cellule | (total) | franc | decimal 2 2" xfId="2382" xr:uid="{00000000-0005-0000-0000-000059090000}"/>
    <cellStyle name="tableau | cellule | (total) | franc | decimal 2 2 2" xfId="2383" xr:uid="{00000000-0005-0000-0000-00005A090000}"/>
    <cellStyle name="tableau | cellule | (total) | franc | decimal 2 2 3" xfId="2384" xr:uid="{00000000-0005-0000-0000-00005B090000}"/>
    <cellStyle name="tableau | cellule | (total) | franc | decimal 2 3" xfId="2385" xr:uid="{00000000-0005-0000-0000-00005C090000}"/>
    <cellStyle name="tableau | cellule | (total) | franc | decimal 2 3 2" xfId="2386" xr:uid="{00000000-0005-0000-0000-00005D090000}"/>
    <cellStyle name="tableau | cellule | (total) | franc | decimal 2 3 3" xfId="2387" xr:uid="{00000000-0005-0000-0000-00005E090000}"/>
    <cellStyle name="tableau | cellule | (total) | franc | decimal 2 4" xfId="2388" xr:uid="{00000000-0005-0000-0000-00005F090000}"/>
    <cellStyle name="tableau | cellule | (total) | franc | decimal 2 4 2" xfId="2389" xr:uid="{00000000-0005-0000-0000-000060090000}"/>
    <cellStyle name="tableau | cellule | (total) | franc | decimal 2 4 3" xfId="2390" xr:uid="{00000000-0005-0000-0000-000061090000}"/>
    <cellStyle name="tableau | cellule | (total) | franc | decimal 2 5" xfId="2391" xr:uid="{00000000-0005-0000-0000-000062090000}"/>
    <cellStyle name="tableau | cellule | (total) | franc | decimal 2 5 2" xfId="2392" xr:uid="{00000000-0005-0000-0000-000063090000}"/>
    <cellStyle name="tableau | cellule | (total) | franc | decimal 2 5 3" xfId="2393" xr:uid="{00000000-0005-0000-0000-000064090000}"/>
    <cellStyle name="tableau | cellule | (total) | franc | decimal 2 6" xfId="2394" xr:uid="{00000000-0005-0000-0000-000065090000}"/>
    <cellStyle name="tableau | cellule | (total) | franc | decimal 2 7" xfId="2395" xr:uid="{00000000-0005-0000-0000-000066090000}"/>
    <cellStyle name="tableau | cellule | (total) | franc | entier" xfId="2396" xr:uid="{00000000-0005-0000-0000-000067090000}"/>
    <cellStyle name="tableau | cellule | (total) | franc | entier 2" xfId="2397" xr:uid="{00000000-0005-0000-0000-000068090000}"/>
    <cellStyle name="tableau | cellule | (total) | franc | entier 2 2" xfId="2398" xr:uid="{00000000-0005-0000-0000-000069090000}"/>
    <cellStyle name="tableau | cellule | (total) | franc | entier 2 3" xfId="2399" xr:uid="{00000000-0005-0000-0000-00006A090000}"/>
    <cellStyle name="tableau | cellule | (total) | franc | entier 3" xfId="2400" xr:uid="{00000000-0005-0000-0000-00006B090000}"/>
    <cellStyle name="tableau | cellule | (total) | franc | entier 3 2" xfId="2401" xr:uid="{00000000-0005-0000-0000-00006C090000}"/>
    <cellStyle name="tableau | cellule | (total) | franc | entier 3 3" xfId="2402" xr:uid="{00000000-0005-0000-0000-00006D090000}"/>
    <cellStyle name="tableau | cellule | (total) | franc | entier 4" xfId="2403" xr:uid="{00000000-0005-0000-0000-00006E090000}"/>
    <cellStyle name="tableau | cellule | (total) | franc | entier 4 2" xfId="2404" xr:uid="{00000000-0005-0000-0000-00006F090000}"/>
    <cellStyle name="tableau | cellule | (total) | franc | entier 4 3" xfId="2405" xr:uid="{00000000-0005-0000-0000-000070090000}"/>
    <cellStyle name="tableau | cellule | (total) | franc | entier 5" xfId="2406" xr:uid="{00000000-0005-0000-0000-000071090000}"/>
    <cellStyle name="tableau | cellule | (total) | franc | entier 5 2" xfId="2407" xr:uid="{00000000-0005-0000-0000-000072090000}"/>
    <cellStyle name="tableau | cellule | (total) | franc | entier 5 3" xfId="2408" xr:uid="{00000000-0005-0000-0000-000073090000}"/>
    <cellStyle name="tableau | cellule | (total) | franc | entier 6" xfId="2409" xr:uid="{00000000-0005-0000-0000-000074090000}"/>
    <cellStyle name="tableau | cellule | (total) | franc | entier 7" xfId="2410" xr:uid="{00000000-0005-0000-0000-000075090000}"/>
    <cellStyle name="tableau | cellule | (total) | pourcentage | decimal 1" xfId="2411" xr:uid="{00000000-0005-0000-0000-000076090000}"/>
    <cellStyle name="tableau | cellule | (total) | pourcentage | decimal 1 2" xfId="2412" xr:uid="{00000000-0005-0000-0000-000077090000}"/>
    <cellStyle name="tableau | cellule | (total) | pourcentage | decimal 1 2 2" xfId="2413" xr:uid="{00000000-0005-0000-0000-000078090000}"/>
    <cellStyle name="tableau | cellule | (total) | pourcentage | decimal 1 2 3" xfId="2414" xr:uid="{00000000-0005-0000-0000-000079090000}"/>
    <cellStyle name="tableau | cellule | (total) | pourcentage | decimal 1 3" xfId="2415" xr:uid="{00000000-0005-0000-0000-00007A090000}"/>
    <cellStyle name="tableau | cellule | (total) | pourcentage | decimal 1 3 2" xfId="2416" xr:uid="{00000000-0005-0000-0000-00007B090000}"/>
    <cellStyle name="tableau | cellule | (total) | pourcentage | decimal 1 3 3" xfId="2417" xr:uid="{00000000-0005-0000-0000-00007C090000}"/>
    <cellStyle name="tableau | cellule | (total) | pourcentage | decimal 1 4" xfId="2418" xr:uid="{00000000-0005-0000-0000-00007D090000}"/>
    <cellStyle name="tableau | cellule | (total) | pourcentage | decimal 1 4 2" xfId="2419" xr:uid="{00000000-0005-0000-0000-00007E090000}"/>
    <cellStyle name="tableau | cellule | (total) | pourcentage | decimal 1 4 3" xfId="2420" xr:uid="{00000000-0005-0000-0000-00007F090000}"/>
    <cellStyle name="tableau | cellule | (total) | pourcentage | decimal 1 5" xfId="2421" xr:uid="{00000000-0005-0000-0000-000080090000}"/>
    <cellStyle name="tableau | cellule | (total) | pourcentage | decimal 1 5 2" xfId="2422" xr:uid="{00000000-0005-0000-0000-000081090000}"/>
    <cellStyle name="tableau | cellule | (total) | pourcentage | decimal 1 5 3" xfId="2423" xr:uid="{00000000-0005-0000-0000-000082090000}"/>
    <cellStyle name="tableau | cellule | (total) | pourcentage | decimal 1 6" xfId="2424" xr:uid="{00000000-0005-0000-0000-000083090000}"/>
    <cellStyle name="tableau | cellule | (total) | pourcentage | decimal 1 7" xfId="2425" xr:uid="{00000000-0005-0000-0000-000084090000}"/>
    <cellStyle name="tableau | cellule | (total) | pourcentage | decimal 2" xfId="2426" xr:uid="{00000000-0005-0000-0000-000085090000}"/>
    <cellStyle name="tableau | cellule | (total) | pourcentage | decimal 2 2" xfId="2427" xr:uid="{00000000-0005-0000-0000-000086090000}"/>
    <cellStyle name="tableau | cellule | (total) | pourcentage | decimal 2 2 2" xfId="2428" xr:uid="{00000000-0005-0000-0000-000087090000}"/>
    <cellStyle name="tableau | cellule | (total) | pourcentage | decimal 2 2 3" xfId="2429" xr:uid="{00000000-0005-0000-0000-000088090000}"/>
    <cellStyle name="tableau | cellule | (total) | pourcentage | decimal 2 3" xfId="2430" xr:uid="{00000000-0005-0000-0000-000089090000}"/>
    <cellStyle name="tableau | cellule | (total) | pourcentage | decimal 2 3 2" xfId="2431" xr:uid="{00000000-0005-0000-0000-00008A090000}"/>
    <cellStyle name="tableau | cellule | (total) | pourcentage | decimal 2 3 3" xfId="2432" xr:uid="{00000000-0005-0000-0000-00008B090000}"/>
    <cellStyle name="tableau | cellule | (total) | pourcentage | decimal 2 4" xfId="2433" xr:uid="{00000000-0005-0000-0000-00008C090000}"/>
    <cellStyle name="tableau | cellule | (total) | pourcentage | decimal 2 4 2" xfId="2434" xr:uid="{00000000-0005-0000-0000-00008D090000}"/>
    <cellStyle name="tableau | cellule | (total) | pourcentage | decimal 2 4 3" xfId="2435" xr:uid="{00000000-0005-0000-0000-00008E090000}"/>
    <cellStyle name="tableau | cellule | (total) | pourcentage | decimal 2 5" xfId="2436" xr:uid="{00000000-0005-0000-0000-00008F090000}"/>
    <cellStyle name="tableau | cellule | (total) | pourcentage | decimal 2 5 2" xfId="2437" xr:uid="{00000000-0005-0000-0000-000090090000}"/>
    <cellStyle name="tableau | cellule | (total) | pourcentage | decimal 2 5 3" xfId="2438" xr:uid="{00000000-0005-0000-0000-000091090000}"/>
    <cellStyle name="tableau | cellule | (total) | pourcentage | decimal 2 6" xfId="2439" xr:uid="{00000000-0005-0000-0000-000092090000}"/>
    <cellStyle name="tableau | cellule | (total) | pourcentage | decimal 2 7" xfId="2440" xr:uid="{00000000-0005-0000-0000-000093090000}"/>
    <cellStyle name="tableau | cellule | (total) | pourcentage | entier" xfId="2441" xr:uid="{00000000-0005-0000-0000-000094090000}"/>
    <cellStyle name="tableau | cellule | (total) | pourcentage | entier 2" xfId="2442" xr:uid="{00000000-0005-0000-0000-000095090000}"/>
    <cellStyle name="tableau | cellule | (total) | pourcentage | entier 2 2" xfId="2443" xr:uid="{00000000-0005-0000-0000-000096090000}"/>
    <cellStyle name="tableau | cellule | (total) | pourcentage | entier 2 3" xfId="2444" xr:uid="{00000000-0005-0000-0000-000097090000}"/>
    <cellStyle name="tableau | cellule | (total) | pourcentage | entier 3" xfId="2445" xr:uid="{00000000-0005-0000-0000-000098090000}"/>
    <cellStyle name="tableau | cellule | (total) | pourcentage | entier 3 2" xfId="2446" xr:uid="{00000000-0005-0000-0000-000099090000}"/>
    <cellStyle name="tableau | cellule | (total) | pourcentage | entier 3 3" xfId="2447" xr:uid="{00000000-0005-0000-0000-00009A090000}"/>
    <cellStyle name="tableau | cellule | (total) | pourcentage | entier 4" xfId="2448" xr:uid="{00000000-0005-0000-0000-00009B090000}"/>
    <cellStyle name="tableau | cellule | (total) | pourcentage | entier 4 2" xfId="2449" xr:uid="{00000000-0005-0000-0000-00009C090000}"/>
    <cellStyle name="tableau | cellule | (total) | pourcentage | entier 4 3" xfId="2450" xr:uid="{00000000-0005-0000-0000-00009D090000}"/>
    <cellStyle name="tableau | cellule | (total) | pourcentage | entier 5" xfId="2451" xr:uid="{00000000-0005-0000-0000-00009E090000}"/>
    <cellStyle name="tableau | cellule | (total) | pourcentage | entier 5 2" xfId="2452" xr:uid="{00000000-0005-0000-0000-00009F090000}"/>
    <cellStyle name="tableau | cellule | (total) | pourcentage | entier 5 3" xfId="2453" xr:uid="{00000000-0005-0000-0000-0000A0090000}"/>
    <cellStyle name="tableau | cellule | (total) | pourcentage | entier 6" xfId="2454" xr:uid="{00000000-0005-0000-0000-0000A1090000}"/>
    <cellStyle name="tableau | cellule | (total) | pourcentage | entier 7" xfId="2455" xr:uid="{00000000-0005-0000-0000-0000A2090000}"/>
    <cellStyle name="tableau | cellule | (total) | standard" xfId="2456" xr:uid="{00000000-0005-0000-0000-0000A3090000}"/>
    <cellStyle name="tableau | cellule | (total) | standard 2" xfId="2457" xr:uid="{00000000-0005-0000-0000-0000A4090000}"/>
    <cellStyle name="tableau | cellule | (total) | standard 2 2" xfId="2458" xr:uid="{00000000-0005-0000-0000-0000A5090000}"/>
    <cellStyle name="tableau | cellule | (total) | standard 2 3" xfId="2459" xr:uid="{00000000-0005-0000-0000-0000A6090000}"/>
    <cellStyle name="tableau | cellule | (total) | standard 3" xfId="2460" xr:uid="{00000000-0005-0000-0000-0000A7090000}"/>
    <cellStyle name="tableau | cellule | (total) | standard 3 2" xfId="2461" xr:uid="{00000000-0005-0000-0000-0000A8090000}"/>
    <cellStyle name="tableau | cellule | (total) | standard 3 3" xfId="2462" xr:uid="{00000000-0005-0000-0000-0000A9090000}"/>
    <cellStyle name="tableau | cellule | (total) | standard 4" xfId="2463" xr:uid="{00000000-0005-0000-0000-0000AA090000}"/>
    <cellStyle name="tableau | cellule | (total) | standard 4 2" xfId="2464" xr:uid="{00000000-0005-0000-0000-0000AB090000}"/>
    <cellStyle name="tableau | cellule | (total) | standard 4 3" xfId="2465" xr:uid="{00000000-0005-0000-0000-0000AC090000}"/>
    <cellStyle name="tableau | cellule | (total) | standard 5" xfId="2466" xr:uid="{00000000-0005-0000-0000-0000AD090000}"/>
    <cellStyle name="tableau | cellule | (total) | standard 5 2" xfId="2467" xr:uid="{00000000-0005-0000-0000-0000AE090000}"/>
    <cellStyle name="tableau | cellule | (total) | standard 5 3" xfId="2468" xr:uid="{00000000-0005-0000-0000-0000AF090000}"/>
    <cellStyle name="tableau | cellule | (total) | standard 6" xfId="2469" xr:uid="{00000000-0005-0000-0000-0000B0090000}"/>
    <cellStyle name="tableau | cellule | (total) | standard 7" xfId="2470" xr:uid="{00000000-0005-0000-0000-0000B1090000}"/>
    <cellStyle name="tableau | cellule | (total) | texte" xfId="2471" xr:uid="{00000000-0005-0000-0000-0000B2090000}"/>
    <cellStyle name="tableau | cellule | (total) | texte 2" xfId="2472" xr:uid="{00000000-0005-0000-0000-0000B3090000}"/>
    <cellStyle name="tableau | cellule | (total) | texte 2 2" xfId="2473" xr:uid="{00000000-0005-0000-0000-0000B4090000}"/>
    <cellStyle name="tableau | cellule | (total) | texte 2 3" xfId="2474" xr:uid="{00000000-0005-0000-0000-0000B5090000}"/>
    <cellStyle name="tableau | cellule | (total) | texte 3" xfId="2475" xr:uid="{00000000-0005-0000-0000-0000B6090000}"/>
    <cellStyle name="tableau | cellule | (total) | texte 3 2" xfId="2476" xr:uid="{00000000-0005-0000-0000-0000B7090000}"/>
    <cellStyle name="tableau | cellule | (total) | texte 3 3" xfId="2477" xr:uid="{00000000-0005-0000-0000-0000B8090000}"/>
    <cellStyle name="tableau | cellule | (total) | texte 4" xfId="2478" xr:uid="{00000000-0005-0000-0000-0000B9090000}"/>
    <cellStyle name="tableau | cellule | (total) | texte 4 2" xfId="2479" xr:uid="{00000000-0005-0000-0000-0000BA090000}"/>
    <cellStyle name="tableau | cellule | (total) | texte 4 3" xfId="2480" xr:uid="{00000000-0005-0000-0000-0000BB090000}"/>
    <cellStyle name="tableau | cellule | (total) | texte 5" xfId="2481" xr:uid="{00000000-0005-0000-0000-0000BC090000}"/>
    <cellStyle name="tableau | cellule | (total) | texte 5 2" xfId="2482" xr:uid="{00000000-0005-0000-0000-0000BD090000}"/>
    <cellStyle name="tableau | cellule | (total) | texte 5 3" xfId="2483" xr:uid="{00000000-0005-0000-0000-0000BE090000}"/>
    <cellStyle name="tableau | cellule | (total) | texte 6" xfId="2484" xr:uid="{00000000-0005-0000-0000-0000BF090000}"/>
    <cellStyle name="tableau | cellule | (total) | texte 7" xfId="2485" xr:uid="{00000000-0005-0000-0000-0000C0090000}"/>
    <cellStyle name="tableau | cellule | normal | decimal 1" xfId="2486" xr:uid="{00000000-0005-0000-0000-0000C1090000}"/>
    <cellStyle name="tableau | cellule | normal | decimal 1 2" xfId="2487" xr:uid="{00000000-0005-0000-0000-0000C2090000}"/>
    <cellStyle name="tableau | cellule | normal | decimal 1 2 2" xfId="2488" xr:uid="{00000000-0005-0000-0000-0000C3090000}"/>
    <cellStyle name="tableau | cellule | normal | decimal 1 2 2 2" xfId="2489" xr:uid="{00000000-0005-0000-0000-0000C4090000}"/>
    <cellStyle name="tableau | cellule | normal | decimal 1 2 2 3" xfId="2490" xr:uid="{00000000-0005-0000-0000-0000C5090000}"/>
    <cellStyle name="tableau | cellule | normal | decimal 1 2 3" xfId="2491" xr:uid="{00000000-0005-0000-0000-0000C6090000}"/>
    <cellStyle name="tableau | cellule | normal | decimal 1 2 3 2" xfId="2492" xr:uid="{00000000-0005-0000-0000-0000C7090000}"/>
    <cellStyle name="tableau | cellule | normal | decimal 1 2 3 3" xfId="2493" xr:uid="{00000000-0005-0000-0000-0000C8090000}"/>
    <cellStyle name="tableau | cellule | normal | decimal 1 2 4" xfId="2494" xr:uid="{00000000-0005-0000-0000-0000C9090000}"/>
    <cellStyle name="tableau | cellule | normal | decimal 1 2 5" xfId="2495" xr:uid="{00000000-0005-0000-0000-0000CA090000}"/>
    <cellStyle name="tableau | cellule | normal | decimal 1 3" xfId="2496" xr:uid="{00000000-0005-0000-0000-0000CB090000}"/>
    <cellStyle name="tableau | cellule | normal | decimal 1 3 2" xfId="2497" xr:uid="{00000000-0005-0000-0000-0000CC090000}"/>
    <cellStyle name="tableau | cellule | normal | decimal 1 3 2 2" xfId="2498" xr:uid="{00000000-0005-0000-0000-0000CD090000}"/>
    <cellStyle name="tableau | cellule | normal | decimal 1 3 2 3" xfId="2499" xr:uid="{00000000-0005-0000-0000-0000CE090000}"/>
    <cellStyle name="tableau | cellule | normal | decimal 1 3 3" xfId="2500" xr:uid="{00000000-0005-0000-0000-0000CF090000}"/>
    <cellStyle name="tableau | cellule | normal | decimal 1 3 4" xfId="2501" xr:uid="{00000000-0005-0000-0000-0000D0090000}"/>
    <cellStyle name="tableau | cellule | normal | decimal 1 4" xfId="2502" xr:uid="{00000000-0005-0000-0000-0000D1090000}"/>
    <cellStyle name="tableau | cellule | normal | decimal 1 4 2" xfId="2503" xr:uid="{00000000-0005-0000-0000-0000D2090000}"/>
    <cellStyle name="tableau | cellule | normal | decimal 1 4 3" xfId="2504" xr:uid="{00000000-0005-0000-0000-0000D3090000}"/>
    <cellStyle name="tableau | cellule | normal | decimal 1 5" xfId="2505" xr:uid="{00000000-0005-0000-0000-0000D4090000}"/>
    <cellStyle name="tableau | cellule | normal | decimal 1 5 2" xfId="2506" xr:uid="{00000000-0005-0000-0000-0000D5090000}"/>
    <cellStyle name="tableau | cellule | normal | decimal 1 5 3" xfId="2507" xr:uid="{00000000-0005-0000-0000-0000D6090000}"/>
    <cellStyle name="tableau | cellule | normal | decimal 1 6" xfId="2508" xr:uid="{00000000-0005-0000-0000-0000D7090000}"/>
    <cellStyle name="tableau | cellule | normal | decimal 1 7" xfId="2509" xr:uid="{00000000-0005-0000-0000-0000D8090000}"/>
    <cellStyle name="tableau | cellule | normal | decimal 2" xfId="2510" xr:uid="{00000000-0005-0000-0000-0000D9090000}"/>
    <cellStyle name="tableau | cellule | normal | decimal 2 2" xfId="2511" xr:uid="{00000000-0005-0000-0000-0000DA090000}"/>
    <cellStyle name="tableau | cellule | normal | decimal 2 2 2" xfId="2512" xr:uid="{00000000-0005-0000-0000-0000DB090000}"/>
    <cellStyle name="tableau | cellule | normal | decimal 2 2 2 2" xfId="2513" xr:uid="{00000000-0005-0000-0000-0000DC090000}"/>
    <cellStyle name="tableau | cellule | normal | decimal 2 2 2 3" xfId="2514" xr:uid="{00000000-0005-0000-0000-0000DD090000}"/>
    <cellStyle name="tableau | cellule | normal | decimal 2 2 3" xfId="2515" xr:uid="{00000000-0005-0000-0000-0000DE090000}"/>
    <cellStyle name="tableau | cellule | normal | decimal 2 2 4" xfId="2516" xr:uid="{00000000-0005-0000-0000-0000DF090000}"/>
    <cellStyle name="tableau | cellule | normal | decimal 2 3" xfId="2517" xr:uid="{00000000-0005-0000-0000-0000E0090000}"/>
    <cellStyle name="tableau | cellule | normal | decimal 2 3 2" xfId="2518" xr:uid="{00000000-0005-0000-0000-0000E1090000}"/>
    <cellStyle name="tableau | cellule | normal | decimal 2 3 3" xfId="2519" xr:uid="{00000000-0005-0000-0000-0000E2090000}"/>
    <cellStyle name="tableau | cellule | normal | decimal 2 4" xfId="2520" xr:uid="{00000000-0005-0000-0000-0000E3090000}"/>
    <cellStyle name="tableau | cellule | normal | decimal 2 4 2" xfId="2521" xr:uid="{00000000-0005-0000-0000-0000E4090000}"/>
    <cellStyle name="tableau | cellule | normal | decimal 2 4 3" xfId="2522" xr:uid="{00000000-0005-0000-0000-0000E5090000}"/>
    <cellStyle name="tableau | cellule | normal | decimal 2 5" xfId="2523" xr:uid="{00000000-0005-0000-0000-0000E6090000}"/>
    <cellStyle name="tableau | cellule | normal | decimal 2 5 2" xfId="2524" xr:uid="{00000000-0005-0000-0000-0000E7090000}"/>
    <cellStyle name="tableau | cellule | normal | decimal 2 5 3" xfId="2525" xr:uid="{00000000-0005-0000-0000-0000E8090000}"/>
    <cellStyle name="tableau | cellule | normal | decimal 2 6" xfId="2526" xr:uid="{00000000-0005-0000-0000-0000E9090000}"/>
    <cellStyle name="tableau | cellule | normal | decimal 2 7" xfId="2527" xr:uid="{00000000-0005-0000-0000-0000EA090000}"/>
    <cellStyle name="tableau | cellule | normal | decimal 3" xfId="2528" xr:uid="{00000000-0005-0000-0000-0000EB090000}"/>
    <cellStyle name="tableau | cellule | normal | decimal 3 2" xfId="2529" xr:uid="{00000000-0005-0000-0000-0000EC090000}"/>
    <cellStyle name="tableau | cellule | normal | decimal 3 2 2" xfId="2530" xr:uid="{00000000-0005-0000-0000-0000ED090000}"/>
    <cellStyle name="tableau | cellule | normal | decimal 3 2 2 2" xfId="2531" xr:uid="{00000000-0005-0000-0000-0000EE090000}"/>
    <cellStyle name="tableau | cellule | normal | decimal 3 2 2 3" xfId="2532" xr:uid="{00000000-0005-0000-0000-0000EF090000}"/>
    <cellStyle name="tableau | cellule | normal | decimal 3 2 3" xfId="2533" xr:uid="{00000000-0005-0000-0000-0000F0090000}"/>
    <cellStyle name="tableau | cellule | normal | decimal 3 2 4" xfId="2534" xr:uid="{00000000-0005-0000-0000-0000F1090000}"/>
    <cellStyle name="tableau | cellule | normal | decimal 3 3" xfId="2535" xr:uid="{00000000-0005-0000-0000-0000F2090000}"/>
    <cellStyle name="tableau | cellule | normal | decimal 3 3 2" xfId="2536" xr:uid="{00000000-0005-0000-0000-0000F3090000}"/>
    <cellStyle name="tableau | cellule | normal | decimal 3 3 3" xfId="2537" xr:uid="{00000000-0005-0000-0000-0000F4090000}"/>
    <cellStyle name="tableau | cellule | normal | decimal 3 4" xfId="2538" xr:uid="{00000000-0005-0000-0000-0000F5090000}"/>
    <cellStyle name="tableau | cellule | normal | decimal 3 4 2" xfId="2539" xr:uid="{00000000-0005-0000-0000-0000F6090000}"/>
    <cellStyle name="tableau | cellule | normal | decimal 3 4 3" xfId="2540" xr:uid="{00000000-0005-0000-0000-0000F7090000}"/>
    <cellStyle name="tableau | cellule | normal | decimal 3 5" xfId="2541" xr:uid="{00000000-0005-0000-0000-0000F8090000}"/>
    <cellStyle name="tableau | cellule | normal | decimal 3 5 2" xfId="2542" xr:uid="{00000000-0005-0000-0000-0000F9090000}"/>
    <cellStyle name="tableau | cellule | normal | decimal 3 5 3" xfId="2543" xr:uid="{00000000-0005-0000-0000-0000FA090000}"/>
    <cellStyle name="tableau | cellule | normal | decimal 3 6" xfId="2544" xr:uid="{00000000-0005-0000-0000-0000FB090000}"/>
    <cellStyle name="tableau | cellule | normal | decimal 3 7" xfId="2545" xr:uid="{00000000-0005-0000-0000-0000FC090000}"/>
    <cellStyle name="tableau | cellule | normal | decimal 4" xfId="2546" xr:uid="{00000000-0005-0000-0000-0000FD090000}"/>
    <cellStyle name="tableau | cellule | normal | decimal 4 2" xfId="2547" xr:uid="{00000000-0005-0000-0000-0000FE090000}"/>
    <cellStyle name="tableau | cellule | normal | decimal 4 2 2" xfId="2548" xr:uid="{00000000-0005-0000-0000-0000FF090000}"/>
    <cellStyle name="tableau | cellule | normal | decimal 4 2 2 2" xfId="2549" xr:uid="{00000000-0005-0000-0000-0000000A0000}"/>
    <cellStyle name="tableau | cellule | normal | decimal 4 2 2 3" xfId="2550" xr:uid="{00000000-0005-0000-0000-0000010A0000}"/>
    <cellStyle name="tableau | cellule | normal | decimal 4 2 3" xfId="2551" xr:uid="{00000000-0005-0000-0000-0000020A0000}"/>
    <cellStyle name="tableau | cellule | normal | decimal 4 2 4" xfId="2552" xr:uid="{00000000-0005-0000-0000-0000030A0000}"/>
    <cellStyle name="tableau | cellule | normal | decimal 4 3" xfId="2553" xr:uid="{00000000-0005-0000-0000-0000040A0000}"/>
    <cellStyle name="tableau | cellule | normal | decimal 4 3 2" xfId="2554" xr:uid="{00000000-0005-0000-0000-0000050A0000}"/>
    <cellStyle name="tableau | cellule | normal | decimal 4 3 3" xfId="2555" xr:uid="{00000000-0005-0000-0000-0000060A0000}"/>
    <cellStyle name="tableau | cellule | normal | decimal 4 4" xfId="2556" xr:uid="{00000000-0005-0000-0000-0000070A0000}"/>
    <cellStyle name="tableau | cellule | normal | decimal 4 4 2" xfId="2557" xr:uid="{00000000-0005-0000-0000-0000080A0000}"/>
    <cellStyle name="tableau | cellule | normal | decimal 4 4 3" xfId="2558" xr:uid="{00000000-0005-0000-0000-0000090A0000}"/>
    <cellStyle name="tableau | cellule | normal | decimal 4 5" xfId="2559" xr:uid="{00000000-0005-0000-0000-00000A0A0000}"/>
    <cellStyle name="tableau | cellule | normal | decimal 4 5 2" xfId="2560" xr:uid="{00000000-0005-0000-0000-00000B0A0000}"/>
    <cellStyle name="tableau | cellule | normal | decimal 4 5 3" xfId="2561" xr:uid="{00000000-0005-0000-0000-00000C0A0000}"/>
    <cellStyle name="tableau | cellule | normal | decimal 4 6" xfId="2562" xr:uid="{00000000-0005-0000-0000-00000D0A0000}"/>
    <cellStyle name="tableau | cellule | normal | decimal 4 7" xfId="2563" xr:uid="{00000000-0005-0000-0000-00000E0A0000}"/>
    <cellStyle name="tableau | cellule | normal | entier" xfId="2564" xr:uid="{00000000-0005-0000-0000-00000F0A0000}"/>
    <cellStyle name="tableau | cellule | normal | entier 2" xfId="2565" xr:uid="{00000000-0005-0000-0000-0000100A0000}"/>
    <cellStyle name="tableau | cellule | normal | entier 2 2" xfId="2566" xr:uid="{00000000-0005-0000-0000-0000110A0000}"/>
    <cellStyle name="tableau | cellule | normal | entier 2 2 2" xfId="2567" xr:uid="{00000000-0005-0000-0000-0000120A0000}"/>
    <cellStyle name="tableau | cellule | normal | entier 2 2 3" xfId="2568" xr:uid="{00000000-0005-0000-0000-0000130A0000}"/>
    <cellStyle name="tableau | cellule | normal | entier 2 3" xfId="2569" xr:uid="{00000000-0005-0000-0000-0000140A0000}"/>
    <cellStyle name="tableau | cellule | normal | entier 2 4" xfId="2570" xr:uid="{00000000-0005-0000-0000-0000150A0000}"/>
    <cellStyle name="tableau | cellule | normal | entier 3" xfId="2571" xr:uid="{00000000-0005-0000-0000-0000160A0000}"/>
    <cellStyle name="tableau | cellule | normal | entier 3 2" xfId="2572" xr:uid="{00000000-0005-0000-0000-0000170A0000}"/>
    <cellStyle name="tableau | cellule | normal | entier 3 3" xfId="2573" xr:uid="{00000000-0005-0000-0000-0000180A0000}"/>
    <cellStyle name="tableau | cellule | normal | entier 4" xfId="2574" xr:uid="{00000000-0005-0000-0000-0000190A0000}"/>
    <cellStyle name="tableau | cellule | normal | entier 4 2" xfId="2575" xr:uid="{00000000-0005-0000-0000-00001A0A0000}"/>
    <cellStyle name="tableau | cellule | normal | entier 4 3" xfId="2576" xr:uid="{00000000-0005-0000-0000-00001B0A0000}"/>
    <cellStyle name="tableau | cellule | normal | entier 5" xfId="2577" xr:uid="{00000000-0005-0000-0000-00001C0A0000}"/>
    <cellStyle name="tableau | cellule | normal | entier 5 2" xfId="2578" xr:uid="{00000000-0005-0000-0000-00001D0A0000}"/>
    <cellStyle name="tableau | cellule | normal | entier 5 3" xfId="2579" xr:uid="{00000000-0005-0000-0000-00001E0A0000}"/>
    <cellStyle name="tableau | cellule | normal | entier 6" xfId="2580" xr:uid="{00000000-0005-0000-0000-00001F0A0000}"/>
    <cellStyle name="tableau | cellule | normal | entier 7" xfId="2581" xr:uid="{00000000-0005-0000-0000-0000200A0000}"/>
    <cellStyle name="tableau | cellule | normal | euro | decimal 1" xfId="2582" xr:uid="{00000000-0005-0000-0000-0000210A0000}"/>
    <cellStyle name="tableau | cellule | normal | euro | decimal 1 2" xfId="2583" xr:uid="{00000000-0005-0000-0000-0000220A0000}"/>
    <cellStyle name="tableau | cellule | normal | euro | decimal 1 2 2" xfId="2584" xr:uid="{00000000-0005-0000-0000-0000230A0000}"/>
    <cellStyle name="tableau | cellule | normal | euro | decimal 1 2 2 2" xfId="2585" xr:uid="{00000000-0005-0000-0000-0000240A0000}"/>
    <cellStyle name="tableau | cellule | normal | euro | decimal 1 2 2 3" xfId="2586" xr:uid="{00000000-0005-0000-0000-0000250A0000}"/>
    <cellStyle name="tableau | cellule | normal | euro | decimal 1 2 3" xfId="2587" xr:uid="{00000000-0005-0000-0000-0000260A0000}"/>
    <cellStyle name="tableau | cellule | normal | euro | decimal 1 2 4" xfId="2588" xr:uid="{00000000-0005-0000-0000-0000270A0000}"/>
    <cellStyle name="tableau | cellule | normal | euro | decimal 1 3" xfId="2589" xr:uid="{00000000-0005-0000-0000-0000280A0000}"/>
    <cellStyle name="tableau | cellule | normal | euro | decimal 1 3 2" xfId="2590" xr:uid="{00000000-0005-0000-0000-0000290A0000}"/>
    <cellStyle name="tableau | cellule | normal | euro | decimal 1 3 3" xfId="2591" xr:uid="{00000000-0005-0000-0000-00002A0A0000}"/>
    <cellStyle name="tableau | cellule | normal | euro | decimal 1 4" xfId="2592" xr:uid="{00000000-0005-0000-0000-00002B0A0000}"/>
    <cellStyle name="tableau | cellule | normal | euro | decimal 1 4 2" xfId="2593" xr:uid="{00000000-0005-0000-0000-00002C0A0000}"/>
    <cellStyle name="tableau | cellule | normal | euro | decimal 1 4 3" xfId="2594" xr:uid="{00000000-0005-0000-0000-00002D0A0000}"/>
    <cellStyle name="tableau | cellule | normal | euro | decimal 1 5" xfId="2595" xr:uid="{00000000-0005-0000-0000-00002E0A0000}"/>
    <cellStyle name="tableau | cellule | normal | euro | decimal 1 5 2" xfId="2596" xr:uid="{00000000-0005-0000-0000-00002F0A0000}"/>
    <cellStyle name="tableau | cellule | normal | euro | decimal 1 5 3" xfId="2597" xr:uid="{00000000-0005-0000-0000-0000300A0000}"/>
    <cellStyle name="tableau | cellule | normal | euro | decimal 1 6" xfId="2598" xr:uid="{00000000-0005-0000-0000-0000310A0000}"/>
    <cellStyle name="tableau | cellule | normal | euro | decimal 1 7" xfId="2599" xr:uid="{00000000-0005-0000-0000-0000320A0000}"/>
    <cellStyle name="tableau | cellule | normal | euro | decimal 2" xfId="2600" xr:uid="{00000000-0005-0000-0000-0000330A0000}"/>
    <cellStyle name="tableau | cellule | normal | euro | decimal 2 2" xfId="2601" xr:uid="{00000000-0005-0000-0000-0000340A0000}"/>
    <cellStyle name="tableau | cellule | normal | euro | decimal 2 2 2" xfId="2602" xr:uid="{00000000-0005-0000-0000-0000350A0000}"/>
    <cellStyle name="tableau | cellule | normal | euro | decimal 2 2 2 2" xfId="2603" xr:uid="{00000000-0005-0000-0000-0000360A0000}"/>
    <cellStyle name="tableau | cellule | normal | euro | decimal 2 2 2 3" xfId="2604" xr:uid="{00000000-0005-0000-0000-0000370A0000}"/>
    <cellStyle name="tableau | cellule | normal | euro | decimal 2 2 3" xfId="2605" xr:uid="{00000000-0005-0000-0000-0000380A0000}"/>
    <cellStyle name="tableau | cellule | normal | euro | decimal 2 2 4" xfId="2606" xr:uid="{00000000-0005-0000-0000-0000390A0000}"/>
    <cellStyle name="tableau | cellule | normal | euro | decimal 2 3" xfId="2607" xr:uid="{00000000-0005-0000-0000-00003A0A0000}"/>
    <cellStyle name="tableau | cellule | normal | euro | decimal 2 3 2" xfId="2608" xr:uid="{00000000-0005-0000-0000-00003B0A0000}"/>
    <cellStyle name="tableau | cellule | normal | euro | decimal 2 3 3" xfId="2609" xr:uid="{00000000-0005-0000-0000-00003C0A0000}"/>
    <cellStyle name="tableau | cellule | normal | euro | decimal 2 4" xfId="2610" xr:uid="{00000000-0005-0000-0000-00003D0A0000}"/>
    <cellStyle name="tableau | cellule | normal | euro | decimal 2 4 2" xfId="2611" xr:uid="{00000000-0005-0000-0000-00003E0A0000}"/>
    <cellStyle name="tableau | cellule | normal | euro | decimal 2 4 3" xfId="2612" xr:uid="{00000000-0005-0000-0000-00003F0A0000}"/>
    <cellStyle name="tableau | cellule | normal | euro | decimal 2 5" xfId="2613" xr:uid="{00000000-0005-0000-0000-0000400A0000}"/>
    <cellStyle name="tableau | cellule | normal | euro | decimal 2 5 2" xfId="2614" xr:uid="{00000000-0005-0000-0000-0000410A0000}"/>
    <cellStyle name="tableau | cellule | normal | euro | decimal 2 5 3" xfId="2615" xr:uid="{00000000-0005-0000-0000-0000420A0000}"/>
    <cellStyle name="tableau | cellule | normal | euro | decimal 2 6" xfId="2616" xr:uid="{00000000-0005-0000-0000-0000430A0000}"/>
    <cellStyle name="tableau | cellule | normal | euro | decimal 2 7" xfId="2617" xr:uid="{00000000-0005-0000-0000-0000440A0000}"/>
    <cellStyle name="tableau | cellule | normal | euro | entier" xfId="2618" xr:uid="{00000000-0005-0000-0000-0000450A0000}"/>
    <cellStyle name="tableau | cellule | normal | euro | entier 2" xfId="2619" xr:uid="{00000000-0005-0000-0000-0000460A0000}"/>
    <cellStyle name="tableau | cellule | normal | euro | entier 2 2" xfId="2620" xr:uid="{00000000-0005-0000-0000-0000470A0000}"/>
    <cellStyle name="tableau | cellule | normal | euro | entier 2 2 2" xfId="2621" xr:uid="{00000000-0005-0000-0000-0000480A0000}"/>
    <cellStyle name="tableau | cellule | normal | euro | entier 2 2 3" xfId="2622" xr:uid="{00000000-0005-0000-0000-0000490A0000}"/>
    <cellStyle name="tableau | cellule | normal | euro | entier 2 3" xfId="2623" xr:uid="{00000000-0005-0000-0000-00004A0A0000}"/>
    <cellStyle name="tableau | cellule | normal | euro | entier 2 4" xfId="2624" xr:uid="{00000000-0005-0000-0000-00004B0A0000}"/>
    <cellStyle name="tableau | cellule | normal | euro | entier 3" xfId="2625" xr:uid="{00000000-0005-0000-0000-00004C0A0000}"/>
    <cellStyle name="tableau | cellule | normal | euro | entier 3 2" xfId="2626" xr:uid="{00000000-0005-0000-0000-00004D0A0000}"/>
    <cellStyle name="tableau | cellule | normal | euro | entier 3 3" xfId="2627" xr:uid="{00000000-0005-0000-0000-00004E0A0000}"/>
    <cellStyle name="tableau | cellule | normal | euro | entier 4" xfId="2628" xr:uid="{00000000-0005-0000-0000-00004F0A0000}"/>
    <cellStyle name="tableau | cellule | normal | euro | entier 4 2" xfId="2629" xr:uid="{00000000-0005-0000-0000-0000500A0000}"/>
    <cellStyle name="tableau | cellule | normal | euro | entier 4 3" xfId="2630" xr:uid="{00000000-0005-0000-0000-0000510A0000}"/>
    <cellStyle name="tableau | cellule | normal | euro | entier 5" xfId="2631" xr:uid="{00000000-0005-0000-0000-0000520A0000}"/>
    <cellStyle name="tableau | cellule | normal | euro | entier 5 2" xfId="2632" xr:uid="{00000000-0005-0000-0000-0000530A0000}"/>
    <cellStyle name="tableau | cellule | normal | euro | entier 5 3" xfId="2633" xr:uid="{00000000-0005-0000-0000-0000540A0000}"/>
    <cellStyle name="tableau | cellule | normal | euro | entier 6" xfId="2634" xr:uid="{00000000-0005-0000-0000-0000550A0000}"/>
    <cellStyle name="tableau | cellule | normal | euro | entier 7" xfId="2635" xr:uid="{00000000-0005-0000-0000-0000560A0000}"/>
    <cellStyle name="tableau | cellule | normal | franc | decimal 1" xfId="2636" xr:uid="{00000000-0005-0000-0000-0000570A0000}"/>
    <cellStyle name="tableau | cellule | normal | franc | decimal 1 2" xfId="2637" xr:uid="{00000000-0005-0000-0000-0000580A0000}"/>
    <cellStyle name="tableau | cellule | normal | franc | decimal 1 2 2" xfId="2638" xr:uid="{00000000-0005-0000-0000-0000590A0000}"/>
    <cellStyle name="tableau | cellule | normal | franc | decimal 1 2 2 2" xfId="2639" xr:uid="{00000000-0005-0000-0000-00005A0A0000}"/>
    <cellStyle name="tableau | cellule | normal | franc | decimal 1 2 2 3" xfId="2640" xr:uid="{00000000-0005-0000-0000-00005B0A0000}"/>
    <cellStyle name="tableau | cellule | normal | franc | decimal 1 2 3" xfId="2641" xr:uid="{00000000-0005-0000-0000-00005C0A0000}"/>
    <cellStyle name="tableau | cellule | normal | franc | decimal 1 2 4" xfId="2642" xr:uid="{00000000-0005-0000-0000-00005D0A0000}"/>
    <cellStyle name="tableau | cellule | normal | franc | decimal 1 3" xfId="2643" xr:uid="{00000000-0005-0000-0000-00005E0A0000}"/>
    <cellStyle name="tableau | cellule | normal | franc | decimal 1 3 2" xfId="2644" xr:uid="{00000000-0005-0000-0000-00005F0A0000}"/>
    <cellStyle name="tableau | cellule | normal | franc | decimal 1 3 3" xfId="2645" xr:uid="{00000000-0005-0000-0000-0000600A0000}"/>
    <cellStyle name="tableau | cellule | normal | franc | decimal 1 4" xfId="2646" xr:uid="{00000000-0005-0000-0000-0000610A0000}"/>
    <cellStyle name="tableau | cellule | normal | franc | decimal 1 4 2" xfId="2647" xr:uid="{00000000-0005-0000-0000-0000620A0000}"/>
    <cellStyle name="tableau | cellule | normal | franc | decimal 1 4 3" xfId="2648" xr:uid="{00000000-0005-0000-0000-0000630A0000}"/>
    <cellStyle name="tableau | cellule | normal | franc | decimal 1 5" xfId="2649" xr:uid="{00000000-0005-0000-0000-0000640A0000}"/>
    <cellStyle name="tableau | cellule | normal | franc | decimal 1 5 2" xfId="2650" xr:uid="{00000000-0005-0000-0000-0000650A0000}"/>
    <cellStyle name="tableau | cellule | normal | franc | decimal 1 5 3" xfId="2651" xr:uid="{00000000-0005-0000-0000-0000660A0000}"/>
    <cellStyle name="tableau | cellule | normal | franc | decimal 1 6" xfId="2652" xr:uid="{00000000-0005-0000-0000-0000670A0000}"/>
    <cellStyle name="tableau | cellule | normal | franc | decimal 1 7" xfId="2653" xr:uid="{00000000-0005-0000-0000-0000680A0000}"/>
    <cellStyle name="tableau | cellule | normal | franc | decimal 2" xfId="2654" xr:uid="{00000000-0005-0000-0000-0000690A0000}"/>
    <cellStyle name="tableau | cellule | normal | franc | decimal 2 2" xfId="2655" xr:uid="{00000000-0005-0000-0000-00006A0A0000}"/>
    <cellStyle name="tableau | cellule | normal | franc | decimal 2 2 2" xfId="2656" xr:uid="{00000000-0005-0000-0000-00006B0A0000}"/>
    <cellStyle name="tableau | cellule | normal | franc | decimal 2 2 2 2" xfId="2657" xr:uid="{00000000-0005-0000-0000-00006C0A0000}"/>
    <cellStyle name="tableau | cellule | normal | franc | decimal 2 2 2 3" xfId="2658" xr:uid="{00000000-0005-0000-0000-00006D0A0000}"/>
    <cellStyle name="tableau | cellule | normal | franc | decimal 2 2 3" xfId="2659" xr:uid="{00000000-0005-0000-0000-00006E0A0000}"/>
    <cellStyle name="tableau | cellule | normal | franc | decimal 2 2 4" xfId="2660" xr:uid="{00000000-0005-0000-0000-00006F0A0000}"/>
    <cellStyle name="tableau | cellule | normal | franc | decimal 2 3" xfId="2661" xr:uid="{00000000-0005-0000-0000-0000700A0000}"/>
    <cellStyle name="tableau | cellule | normal | franc | decimal 2 3 2" xfId="2662" xr:uid="{00000000-0005-0000-0000-0000710A0000}"/>
    <cellStyle name="tableau | cellule | normal | franc | decimal 2 3 3" xfId="2663" xr:uid="{00000000-0005-0000-0000-0000720A0000}"/>
    <cellStyle name="tableau | cellule | normal | franc | decimal 2 4" xfId="2664" xr:uid="{00000000-0005-0000-0000-0000730A0000}"/>
    <cellStyle name="tableau | cellule | normal | franc | decimal 2 4 2" xfId="2665" xr:uid="{00000000-0005-0000-0000-0000740A0000}"/>
    <cellStyle name="tableau | cellule | normal | franc | decimal 2 4 3" xfId="2666" xr:uid="{00000000-0005-0000-0000-0000750A0000}"/>
    <cellStyle name="tableau | cellule | normal | franc | decimal 2 5" xfId="2667" xr:uid="{00000000-0005-0000-0000-0000760A0000}"/>
    <cellStyle name="tableau | cellule | normal | franc | decimal 2 5 2" xfId="2668" xr:uid="{00000000-0005-0000-0000-0000770A0000}"/>
    <cellStyle name="tableau | cellule | normal | franc | decimal 2 5 3" xfId="2669" xr:uid="{00000000-0005-0000-0000-0000780A0000}"/>
    <cellStyle name="tableau | cellule | normal | franc | decimal 2 6" xfId="2670" xr:uid="{00000000-0005-0000-0000-0000790A0000}"/>
    <cellStyle name="tableau | cellule | normal | franc | decimal 2 7" xfId="2671" xr:uid="{00000000-0005-0000-0000-00007A0A0000}"/>
    <cellStyle name="tableau | cellule | normal | franc | entier" xfId="2672" xr:uid="{00000000-0005-0000-0000-00007B0A0000}"/>
    <cellStyle name="tableau | cellule | normal | franc | entier 2" xfId="2673" xr:uid="{00000000-0005-0000-0000-00007C0A0000}"/>
    <cellStyle name="tableau | cellule | normal | franc | entier 2 2" xfId="2674" xr:uid="{00000000-0005-0000-0000-00007D0A0000}"/>
    <cellStyle name="tableau | cellule | normal | franc | entier 2 2 2" xfId="2675" xr:uid="{00000000-0005-0000-0000-00007E0A0000}"/>
    <cellStyle name="tableau | cellule | normal | franc | entier 2 2 3" xfId="2676" xr:uid="{00000000-0005-0000-0000-00007F0A0000}"/>
    <cellStyle name="tableau | cellule | normal | franc | entier 2 3" xfId="2677" xr:uid="{00000000-0005-0000-0000-0000800A0000}"/>
    <cellStyle name="tableau | cellule | normal | franc | entier 2 4" xfId="2678" xr:uid="{00000000-0005-0000-0000-0000810A0000}"/>
    <cellStyle name="tableau | cellule | normal | franc | entier 3" xfId="2679" xr:uid="{00000000-0005-0000-0000-0000820A0000}"/>
    <cellStyle name="tableau | cellule | normal | franc | entier 3 2" xfId="2680" xr:uid="{00000000-0005-0000-0000-0000830A0000}"/>
    <cellStyle name="tableau | cellule | normal | franc | entier 3 3" xfId="2681" xr:uid="{00000000-0005-0000-0000-0000840A0000}"/>
    <cellStyle name="tableau | cellule | normal | franc | entier 4" xfId="2682" xr:uid="{00000000-0005-0000-0000-0000850A0000}"/>
    <cellStyle name="tableau | cellule | normal | franc | entier 4 2" xfId="2683" xr:uid="{00000000-0005-0000-0000-0000860A0000}"/>
    <cellStyle name="tableau | cellule | normal | franc | entier 4 3" xfId="2684" xr:uid="{00000000-0005-0000-0000-0000870A0000}"/>
    <cellStyle name="tableau | cellule | normal | franc | entier 5" xfId="2685" xr:uid="{00000000-0005-0000-0000-0000880A0000}"/>
    <cellStyle name="tableau | cellule | normal | franc | entier 5 2" xfId="2686" xr:uid="{00000000-0005-0000-0000-0000890A0000}"/>
    <cellStyle name="tableau | cellule | normal | franc | entier 5 3" xfId="2687" xr:uid="{00000000-0005-0000-0000-00008A0A0000}"/>
    <cellStyle name="tableau | cellule | normal | franc | entier 6" xfId="2688" xr:uid="{00000000-0005-0000-0000-00008B0A0000}"/>
    <cellStyle name="tableau | cellule | normal | franc | entier 7" xfId="2689" xr:uid="{00000000-0005-0000-0000-00008C0A0000}"/>
    <cellStyle name="tableau | cellule | normal | pourcentage | decimal 1" xfId="2690" xr:uid="{00000000-0005-0000-0000-00008D0A0000}"/>
    <cellStyle name="tableau | cellule | normal | pourcentage | decimal 1 2" xfId="2691" xr:uid="{00000000-0005-0000-0000-00008E0A0000}"/>
    <cellStyle name="tableau | cellule | normal | pourcentage | decimal 1 2 2" xfId="2692" xr:uid="{00000000-0005-0000-0000-00008F0A0000}"/>
    <cellStyle name="tableau | cellule | normal | pourcentage | decimal 1 2 2 2" xfId="2693" xr:uid="{00000000-0005-0000-0000-0000900A0000}"/>
    <cellStyle name="tableau | cellule | normal | pourcentage | decimal 1 2 2 3" xfId="2694" xr:uid="{00000000-0005-0000-0000-0000910A0000}"/>
    <cellStyle name="tableau | cellule | normal | pourcentage | decimal 1 2 3" xfId="2695" xr:uid="{00000000-0005-0000-0000-0000920A0000}"/>
    <cellStyle name="tableau | cellule | normal | pourcentage | decimal 1 2 4" xfId="2696" xr:uid="{00000000-0005-0000-0000-0000930A0000}"/>
    <cellStyle name="tableau | cellule | normal | pourcentage | decimal 1 3" xfId="2697" xr:uid="{00000000-0005-0000-0000-0000940A0000}"/>
    <cellStyle name="tableau | cellule | normal | pourcentage | decimal 1 3 2" xfId="2698" xr:uid="{00000000-0005-0000-0000-0000950A0000}"/>
    <cellStyle name="tableau | cellule | normal | pourcentage | decimal 1 3 3" xfId="2699" xr:uid="{00000000-0005-0000-0000-0000960A0000}"/>
    <cellStyle name="tableau | cellule | normal | pourcentage | decimal 1 4" xfId="2700" xr:uid="{00000000-0005-0000-0000-0000970A0000}"/>
    <cellStyle name="tableau | cellule | normal | pourcentage | decimal 1 4 2" xfId="2701" xr:uid="{00000000-0005-0000-0000-0000980A0000}"/>
    <cellStyle name="tableau | cellule | normal | pourcentage | decimal 1 4 3" xfId="2702" xr:uid="{00000000-0005-0000-0000-0000990A0000}"/>
    <cellStyle name="tableau | cellule | normal | pourcentage | decimal 1 5" xfId="2703" xr:uid="{00000000-0005-0000-0000-00009A0A0000}"/>
    <cellStyle name="tableau | cellule | normal | pourcentage | decimal 1 5 2" xfId="2704" xr:uid="{00000000-0005-0000-0000-00009B0A0000}"/>
    <cellStyle name="tableau | cellule | normal | pourcentage | decimal 1 5 3" xfId="2705" xr:uid="{00000000-0005-0000-0000-00009C0A0000}"/>
    <cellStyle name="tableau | cellule | normal | pourcentage | decimal 1 6" xfId="2706" xr:uid="{00000000-0005-0000-0000-00009D0A0000}"/>
    <cellStyle name="tableau | cellule | normal | pourcentage | decimal 1 7" xfId="2707" xr:uid="{00000000-0005-0000-0000-00009E0A0000}"/>
    <cellStyle name="tableau | cellule | normal | pourcentage | decimal 2" xfId="2708" xr:uid="{00000000-0005-0000-0000-00009F0A0000}"/>
    <cellStyle name="tableau | cellule | normal | pourcentage | decimal 2 2" xfId="2709" xr:uid="{00000000-0005-0000-0000-0000A00A0000}"/>
    <cellStyle name="tableau | cellule | normal | pourcentage | decimal 2 2 2" xfId="2710" xr:uid="{00000000-0005-0000-0000-0000A10A0000}"/>
    <cellStyle name="tableau | cellule | normal | pourcentage | decimal 2 2 2 2" xfId="2711" xr:uid="{00000000-0005-0000-0000-0000A20A0000}"/>
    <cellStyle name="tableau | cellule | normal | pourcentage | decimal 2 2 2 3" xfId="2712" xr:uid="{00000000-0005-0000-0000-0000A30A0000}"/>
    <cellStyle name="tableau | cellule | normal | pourcentage | decimal 2 2 3" xfId="2713" xr:uid="{00000000-0005-0000-0000-0000A40A0000}"/>
    <cellStyle name="tableau | cellule | normal | pourcentage | decimal 2 2 4" xfId="2714" xr:uid="{00000000-0005-0000-0000-0000A50A0000}"/>
    <cellStyle name="tableau | cellule | normal | pourcentage | decimal 2 3" xfId="2715" xr:uid="{00000000-0005-0000-0000-0000A60A0000}"/>
    <cellStyle name="tableau | cellule | normal | pourcentage | decimal 2 3 2" xfId="2716" xr:uid="{00000000-0005-0000-0000-0000A70A0000}"/>
    <cellStyle name="tableau | cellule | normal | pourcentage | decimal 2 3 3" xfId="2717" xr:uid="{00000000-0005-0000-0000-0000A80A0000}"/>
    <cellStyle name="tableau | cellule | normal | pourcentage | decimal 2 4" xfId="2718" xr:uid="{00000000-0005-0000-0000-0000A90A0000}"/>
    <cellStyle name="tableau | cellule | normal | pourcentage | decimal 2 4 2" xfId="2719" xr:uid="{00000000-0005-0000-0000-0000AA0A0000}"/>
    <cellStyle name="tableau | cellule | normal | pourcentage | decimal 2 4 3" xfId="2720" xr:uid="{00000000-0005-0000-0000-0000AB0A0000}"/>
    <cellStyle name="tableau | cellule | normal | pourcentage | decimal 2 5" xfId="2721" xr:uid="{00000000-0005-0000-0000-0000AC0A0000}"/>
    <cellStyle name="tableau | cellule | normal | pourcentage | decimal 2 5 2" xfId="2722" xr:uid="{00000000-0005-0000-0000-0000AD0A0000}"/>
    <cellStyle name="tableau | cellule | normal | pourcentage | decimal 2 5 3" xfId="2723" xr:uid="{00000000-0005-0000-0000-0000AE0A0000}"/>
    <cellStyle name="tableau | cellule | normal | pourcentage | decimal 2 6" xfId="2724" xr:uid="{00000000-0005-0000-0000-0000AF0A0000}"/>
    <cellStyle name="tableau | cellule | normal | pourcentage | decimal 2 7" xfId="2725" xr:uid="{00000000-0005-0000-0000-0000B00A0000}"/>
    <cellStyle name="tableau | cellule | normal | pourcentage | entier" xfId="2726" xr:uid="{00000000-0005-0000-0000-0000B10A0000}"/>
    <cellStyle name="tableau | cellule | normal | pourcentage | entier 2" xfId="2727" xr:uid="{00000000-0005-0000-0000-0000B20A0000}"/>
    <cellStyle name="tableau | cellule | normal | pourcentage | entier 2 2" xfId="2728" xr:uid="{00000000-0005-0000-0000-0000B30A0000}"/>
    <cellStyle name="tableau | cellule | normal | pourcentage | entier 2 2 2" xfId="2729" xr:uid="{00000000-0005-0000-0000-0000B40A0000}"/>
    <cellStyle name="tableau | cellule | normal | pourcentage | entier 2 2 3" xfId="2730" xr:uid="{00000000-0005-0000-0000-0000B50A0000}"/>
    <cellStyle name="tableau | cellule | normal | pourcentage | entier 2 3" xfId="2731" xr:uid="{00000000-0005-0000-0000-0000B60A0000}"/>
    <cellStyle name="tableau | cellule | normal | pourcentage | entier 2 4" xfId="2732" xr:uid="{00000000-0005-0000-0000-0000B70A0000}"/>
    <cellStyle name="tableau | cellule | normal | pourcentage | entier 3" xfId="2733" xr:uid="{00000000-0005-0000-0000-0000B80A0000}"/>
    <cellStyle name="tableau | cellule | normal | pourcentage | entier 3 2" xfId="2734" xr:uid="{00000000-0005-0000-0000-0000B90A0000}"/>
    <cellStyle name="tableau | cellule | normal | pourcentage | entier 3 3" xfId="2735" xr:uid="{00000000-0005-0000-0000-0000BA0A0000}"/>
    <cellStyle name="tableau | cellule | normal | pourcentage | entier 4" xfId="2736" xr:uid="{00000000-0005-0000-0000-0000BB0A0000}"/>
    <cellStyle name="tableau | cellule | normal | pourcentage | entier 4 2" xfId="2737" xr:uid="{00000000-0005-0000-0000-0000BC0A0000}"/>
    <cellStyle name="tableau | cellule | normal | pourcentage | entier 4 3" xfId="2738" xr:uid="{00000000-0005-0000-0000-0000BD0A0000}"/>
    <cellStyle name="tableau | cellule | normal | pourcentage | entier 5" xfId="2739" xr:uid="{00000000-0005-0000-0000-0000BE0A0000}"/>
    <cellStyle name="tableau | cellule | normal | pourcentage | entier 5 2" xfId="2740" xr:uid="{00000000-0005-0000-0000-0000BF0A0000}"/>
    <cellStyle name="tableau | cellule | normal | pourcentage | entier 5 3" xfId="2741" xr:uid="{00000000-0005-0000-0000-0000C00A0000}"/>
    <cellStyle name="tableau | cellule | normal | pourcentage | entier 6" xfId="2742" xr:uid="{00000000-0005-0000-0000-0000C10A0000}"/>
    <cellStyle name="tableau | cellule | normal | pourcentage | entier 7" xfId="2743" xr:uid="{00000000-0005-0000-0000-0000C20A0000}"/>
    <cellStyle name="tableau | cellule | normal | standard" xfId="2744" xr:uid="{00000000-0005-0000-0000-0000C30A0000}"/>
    <cellStyle name="tableau | cellule | normal | standard 2" xfId="2745" xr:uid="{00000000-0005-0000-0000-0000C40A0000}"/>
    <cellStyle name="tableau | cellule | normal | standard 2 2" xfId="2746" xr:uid="{00000000-0005-0000-0000-0000C50A0000}"/>
    <cellStyle name="tableau | cellule | normal | standard 2 2 2" xfId="2747" xr:uid="{00000000-0005-0000-0000-0000C60A0000}"/>
    <cellStyle name="tableau | cellule | normal | standard 2 2 3" xfId="2748" xr:uid="{00000000-0005-0000-0000-0000C70A0000}"/>
    <cellStyle name="tableau | cellule | normal | standard 2 3" xfId="2749" xr:uid="{00000000-0005-0000-0000-0000C80A0000}"/>
    <cellStyle name="tableau | cellule | normal | standard 2 4" xfId="2750" xr:uid="{00000000-0005-0000-0000-0000C90A0000}"/>
    <cellStyle name="tableau | cellule | normal | standard 3" xfId="2751" xr:uid="{00000000-0005-0000-0000-0000CA0A0000}"/>
    <cellStyle name="tableau | cellule | normal | standard 3 2" xfId="2752" xr:uid="{00000000-0005-0000-0000-0000CB0A0000}"/>
    <cellStyle name="tableau | cellule | normal | standard 3 3" xfId="2753" xr:uid="{00000000-0005-0000-0000-0000CC0A0000}"/>
    <cellStyle name="tableau | cellule | normal | standard 4" xfId="2754" xr:uid="{00000000-0005-0000-0000-0000CD0A0000}"/>
    <cellStyle name="tableau | cellule | normal | standard 4 2" xfId="2755" xr:uid="{00000000-0005-0000-0000-0000CE0A0000}"/>
    <cellStyle name="tableau | cellule | normal | standard 4 3" xfId="2756" xr:uid="{00000000-0005-0000-0000-0000CF0A0000}"/>
    <cellStyle name="tableau | cellule | normal | standard 5" xfId="2757" xr:uid="{00000000-0005-0000-0000-0000D00A0000}"/>
    <cellStyle name="tableau | cellule | normal | standard 5 2" xfId="2758" xr:uid="{00000000-0005-0000-0000-0000D10A0000}"/>
    <cellStyle name="tableau | cellule | normal | standard 5 3" xfId="2759" xr:uid="{00000000-0005-0000-0000-0000D20A0000}"/>
    <cellStyle name="tableau | cellule | normal | standard 6" xfId="2760" xr:uid="{00000000-0005-0000-0000-0000D30A0000}"/>
    <cellStyle name="tableau | cellule | normal | standard 7" xfId="2761" xr:uid="{00000000-0005-0000-0000-0000D40A0000}"/>
    <cellStyle name="tableau | cellule | normal | texte" xfId="2762" xr:uid="{00000000-0005-0000-0000-0000D50A0000}"/>
    <cellStyle name="tableau | cellule | normal | texte 2" xfId="2763" xr:uid="{00000000-0005-0000-0000-0000D60A0000}"/>
    <cellStyle name="tableau | cellule | normal | texte 2 2" xfId="2764" xr:uid="{00000000-0005-0000-0000-0000D70A0000}"/>
    <cellStyle name="tableau | cellule | normal | texte 2 2 2" xfId="2765" xr:uid="{00000000-0005-0000-0000-0000D80A0000}"/>
    <cellStyle name="tableau | cellule | normal | texte 2 2 3" xfId="2766" xr:uid="{00000000-0005-0000-0000-0000D90A0000}"/>
    <cellStyle name="tableau | cellule | normal | texte 2 3" xfId="2767" xr:uid="{00000000-0005-0000-0000-0000DA0A0000}"/>
    <cellStyle name="tableau | cellule | normal | texte 2 4" xfId="2768" xr:uid="{00000000-0005-0000-0000-0000DB0A0000}"/>
    <cellStyle name="tableau | cellule | normal | texte 3" xfId="2769" xr:uid="{00000000-0005-0000-0000-0000DC0A0000}"/>
    <cellStyle name="tableau | cellule | normal | texte 3 2" xfId="2770" xr:uid="{00000000-0005-0000-0000-0000DD0A0000}"/>
    <cellStyle name="tableau | cellule | normal | texte 3 3" xfId="2771" xr:uid="{00000000-0005-0000-0000-0000DE0A0000}"/>
    <cellStyle name="tableau | cellule | normal | texte 4" xfId="2772" xr:uid="{00000000-0005-0000-0000-0000DF0A0000}"/>
    <cellStyle name="tableau | cellule | normal | texte 4 2" xfId="2773" xr:uid="{00000000-0005-0000-0000-0000E00A0000}"/>
    <cellStyle name="tableau | cellule | normal | texte 4 3" xfId="2774" xr:uid="{00000000-0005-0000-0000-0000E10A0000}"/>
    <cellStyle name="tableau | cellule | normal | texte 5" xfId="2775" xr:uid="{00000000-0005-0000-0000-0000E20A0000}"/>
    <cellStyle name="tableau | cellule | normal | texte 5 2" xfId="2776" xr:uid="{00000000-0005-0000-0000-0000E30A0000}"/>
    <cellStyle name="tableau | cellule | normal | texte 5 3" xfId="2777" xr:uid="{00000000-0005-0000-0000-0000E40A0000}"/>
    <cellStyle name="tableau | cellule | normal | texte 6" xfId="2778" xr:uid="{00000000-0005-0000-0000-0000E50A0000}"/>
    <cellStyle name="tableau | cellule | normal | texte 7" xfId="2779" xr:uid="{00000000-0005-0000-0000-0000E60A0000}"/>
    <cellStyle name="tableau | cellule | total | decimal 1" xfId="2780" xr:uid="{00000000-0005-0000-0000-0000E70A0000}"/>
    <cellStyle name="tableau | cellule | total | decimal 1 2" xfId="2781" xr:uid="{00000000-0005-0000-0000-0000E80A0000}"/>
    <cellStyle name="tableau | cellule | total | decimal 1 2 2" xfId="2782" xr:uid="{00000000-0005-0000-0000-0000E90A0000}"/>
    <cellStyle name="tableau | cellule | total | decimal 1 2 2 2" xfId="2783" xr:uid="{00000000-0005-0000-0000-0000EA0A0000}"/>
    <cellStyle name="tableau | cellule | total | decimal 1 2 2 3" xfId="2784" xr:uid="{00000000-0005-0000-0000-0000EB0A0000}"/>
    <cellStyle name="tableau | cellule | total | decimal 1 2 3" xfId="2785" xr:uid="{00000000-0005-0000-0000-0000EC0A0000}"/>
    <cellStyle name="tableau | cellule | total | decimal 1 2 3 2" xfId="2786" xr:uid="{00000000-0005-0000-0000-0000ED0A0000}"/>
    <cellStyle name="tableau | cellule | total | decimal 1 2 3 3" xfId="2787" xr:uid="{00000000-0005-0000-0000-0000EE0A0000}"/>
    <cellStyle name="tableau | cellule | total | decimal 1 2 4" xfId="2788" xr:uid="{00000000-0005-0000-0000-0000EF0A0000}"/>
    <cellStyle name="tableau | cellule | total | decimal 1 2 5" xfId="2789" xr:uid="{00000000-0005-0000-0000-0000F00A0000}"/>
    <cellStyle name="tableau | cellule | total | decimal 1 3" xfId="2790" xr:uid="{00000000-0005-0000-0000-0000F10A0000}"/>
    <cellStyle name="tableau | cellule | total | decimal 1 3 2" xfId="2791" xr:uid="{00000000-0005-0000-0000-0000F20A0000}"/>
    <cellStyle name="tableau | cellule | total | decimal 1 3 2 2" xfId="2792" xr:uid="{00000000-0005-0000-0000-0000F30A0000}"/>
    <cellStyle name="tableau | cellule | total | decimal 1 3 2 3" xfId="2793" xr:uid="{00000000-0005-0000-0000-0000F40A0000}"/>
    <cellStyle name="tableau | cellule | total | decimal 1 3 3" xfId="2794" xr:uid="{00000000-0005-0000-0000-0000F50A0000}"/>
    <cellStyle name="tableau | cellule | total | decimal 1 3 4" xfId="2795" xr:uid="{00000000-0005-0000-0000-0000F60A0000}"/>
    <cellStyle name="tableau | cellule | total | decimal 1 4" xfId="2796" xr:uid="{00000000-0005-0000-0000-0000F70A0000}"/>
    <cellStyle name="tableau | cellule | total | decimal 1 4 2" xfId="2797" xr:uid="{00000000-0005-0000-0000-0000F80A0000}"/>
    <cellStyle name="tableau | cellule | total | decimal 1 4 3" xfId="2798" xr:uid="{00000000-0005-0000-0000-0000F90A0000}"/>
    <cellStyle name="tableau | cellule | total | decimal 1 5" xfId="2799" xr:uid="{00000000-0005-0000-0000-0000FA0A0000}"/>
    <cellStyle name="tableau | cellule | total | decimal 1 5 2" xfId="2800" xr:uid="{00000000-0005-0000-0000-0000FB0A0000}"/>
    <cellStyle name="tableau | cellule | total | decimal 1 5 3" xfId="2801" xr:uid="{00000000-0005-0000-0000-0000FC0A0000}"/>
    <cellStyle name="tableau | cellule | total | decimal 1 6" xfId="2802" xr:uid="{00000000-0005-0000-0000-0000FD0A0000}"/>
    <cellStyle name="tableau | cellule | total | decimal 1 7" xfId="2803" xr:uid="{00000000-0005-0000-0000-0000FE0A0000}"/>
    <cellStyle name="tableau | cellule | total | decimal 2" xfId="2804" xr:uid="{00000000-0005-0000-0000-0000FF0A0000}"/>
    <cellStyle name="tableau | cellule | total | decimal 2 2" xfId="2805" xr:uid="{00000000-0005-0000-0000-0000000B0000}"/>
    <cellStyle name="tableau | cellule | total | decimal 2 2 2" xfId="2806" xr:uid="{00000000-0005-0000-0000-0000010B0000}"/>
    <cellStyle name="tableau | cellule | total | decimal 2 2 2 2" xfId="2807" xr:uid="{00000000-0005-0000-0000-0000020B0000}"/>
    <cellStyle name="tableau | cellule | total | decimal 2 2 2 3" xfId="2808" xr:uid="{00000000-0005-0000-0000-0000030B0000}"/>
    <cellStyle name="tableau | cellule | total | decimal 2 2 3" xfId="2809" xr:uid="{00000000-0005-0000-0000-0000040B0000}"/>
    <cellStyle name="tableau | cellule | total | decimal 2 2 4" xfId="2810" xr:uid="{00000000-0005-0000-0000-0000050B0000}"/>
    <cellStyle name="tableau | cellule | total | decimal 2 3" xfId="2811" xr:uid="{00000000-0005-0000-0000-0000060B0000}"/>
    <cellStyle name="tableau | cellule | total | decimal 2 3 2" xfId="2812" xr:uid="{00000000-0005-0000-0000-0000070B0000}"/>
    <cellStyle name="tableau | cellule | total | decimal 2 3 3" xfId="2813" xr:uid="{00000000-0005-0000-0000-0000080B0000}"/>
    <cellStyle name="tableau | cellule | total | decimal 2 4" xfId="2814" xr:uid="{00000000-0005-0000-0000-0000090B0000}"/>
    <cellStyle name="tableau | cellule | total | decimal 2 4 2" xfId="2815" xr:uid="{00000000-0005-0000-0000-00000A0B0000}"/>
    <cellStyle name="tableau | cellule | total | decimal 2 4 3" xfId="2816" xr:uid="{00000000-0005-0000-0000-00000B0B0000}"/>
    <cellStyle name="tableau | cellule | total | decimal 2 5" xfId="2817" xr:uid="{00000000-0005-0000-0000-00000C0B0000}"/>
    <cellStyle name="tableau | cellule | total | decimal 2 5 2" xfId="2818" xr:uid="{00000000-0005-0000-0000-00000D0B0000}"/>
    <cellStyle name="tableau | cellule | total | decimal 2 5 3" xfId="2819" xr:uid="{00000000-0005-0000-0000-00000E0B0000}"/>
    <cellStyle name="tableau | cellule | total | decimal 2 6" xfId="2820" xr:uid="{00000000-0005-0000-0000-00000F0B0000}"/>
    <cellStyle name="tableau | cellule | total | decimal 2 7" xfId="2821" xr:uid="{00000000-0005-0000-0000-0000100B0000}"/>
    <cellStyle name="tableau | cellule | total | decimal 3" xfId="2822" xr:uid="{00000000-0005-0000-0000-0000110B0000}"/>
    <cellStyle name="tableau | cellule | total | decimal 3 2" xfId="2823" xr:uid="{00000000-0005-0000-0000-0000120B0000}"/>
    <cellStyle name="tableau | cellule | total | decimal 3 2 2" xfId="2824" xr:uid="{00000000-0005-0000-0000-0000130B0000}"/>
    <cellStyle name="tableau | cellule | total | decimal 3 2 2 2" xfId="2825" xr:uid="{00000000-0005-0000-0000-0000140B0000}"/>
    <cellStyle name="tableau | cellule | total | decimal 3 2 2 3" xfId="2826" xr:uid="{00000000-0005-0000-0000-0000150B0000}"/>
    <cellStyle name="tableau | cellule | total | decimal 3 2 3" xfId="2827" xr:uid="{00000000-0005-0000-0000-0000160B0000}"/>
    <cellStyle name="tableau | cellule | total | decimal 3 2 4" xfId="2828" xr:uid="{00000000-0005-0000-0000-0000170B0000}"/>
    <cellStyle name="tableau | cellule | total | decimal 3 3" xfId="2829" xr:uid="{00000000-0005-0000-0000-0000180B0000}"/>
    <cellStyle name="tableau | cellule | total | decimal 3 3 2" xfId="2830" xr:uid="{00000000-0005-0000-0000-0000190B0000}"/>
    <cellStyle name="tableau | cellule | total | decimal 3 3 3" xfId="2831" xr:uid="{00000000-0005-0000-0000-00001A0B0000}"/>
    <cellStyle name="tableau | cellule | total | decimal 3 4" xfId="2832" xr:uid="{00000000-0005-0000-0000-00001B0B0000}"/>
    <cellStyle name="tableau | cellule | total | decimal 3 4 2" xfId="2833" xr:uid="{00000000-0005-0000-0000-00001C0B0000}"/>
    <cellStyle name="tableau | cellule | total | decimal 3 4 3" xfId="2834" xr:uid="{00000000-0005-0000-0000-00001D0B0000}"/>
    <cellStyle name="tableau | cellule | total | decimal 3 5" xfId="2835" xr:uid="{00000000-0005-0000-0000-00001E0B0000}"/>
    <cellStyle name="tableau | cellule | total | decimal 3 5 2" xfId="2836" xr:uid="{00000000-0005-0000-0000-00001F0B0000}"/>
    <cellStyle name="tableau | cellule | total | decimal 3 5 3" xfId="2837" xr:uid="{00000000-0005-0000-0000-0000200B0000}"/>
    <cellStyle name="tableau | cellule | total | decimal 3 6" xfId="2838" xr:uid="{00000000-0005-0000-0000-0000210B0000}"/>
    <cellStyle name="tableau | cellule | total | decimal 3 7" xfId="2839" xr:uid="{00000000-0005-0000-0000-0000220B0000}"/>
    <cellStyle name="tableau | cellule | total | decimal 4" xfId="2840" xr:uid="{00000000-0005-0000-0000-0000230B0000}"/>
    <cellStyle name="tableau | cellule | total | decimal 4 2" xfId="2841" xr:uid="{00000000-0005-0000-0000-0000240B0000}"/>
    <cellStyle name="tableau | cellule | total | decimal 4 2 2" xfId="2842" xr:uid="{00000000-0005-0000-0000-0000250B0000}"/>
    <cellStyle name="tableau | cellule | total | decimal 4 2 2 2" xfId="2843" xr:uid="{00000000-0005-0000-0000-0000260B0000}"/>
    <cellStyle name="tableau | cellule | total | decimal 4 2 2 3" xfId="2844" xr:uid="{00000000-0005-0000-0000-0000270B0000}"/>
    <cellStyle name="tableau | cellule | total | decimal 4 2 3" xfId="2845" xr:uid="{00000000-0005-0000-0000-0000280B0000}"/>
    <cellStyle name="tableau | cellule | total | decimal 4 2 4" xfId="2846" xr:uid="{00000000-0005-0000-0000-0000290B0000}"/>
    <cellStyle name="tableau | cellule | total | decimal 4 3" xfId="2847" xr:uid="{00000000-0005-0000-0000-00002A0B0000}"/>
    <cellStyle name="tableau | cellule | total | decimal 4 3 2" xfId="2848" xr:uid="{00000000-0005-0000-0000-00002B0B0000}"/>
    <cellStyle name="tableau | cellule | total | decimal 4 3 3" xfId="2849" xr:uid="{00000000-0005-0000-0000-00002C0B0000}"/>
    <cellStyle name="tableau | cellule | total | decimal 4 4" xfId="2850" xr:uid="{00000000-0005-0000-0000-00002D0B0000}"/>
    <cellStyle name="tableau | cellule | total | decimal 4 4 2" xfId="2851" xr:uid="{00000000-0005-0000-0000-00002E0B0000}"/>
    <cellStyle name="tableau | cellule | total | decimal 4 4 3" xfId="2852" xr:uid="{00000000-0005-0000-0000-00002F0B0000}"/>
    <cellStyle name="tableau | cellule | total | decimal 4 5" xfId="2853" xr:uid="{00000000-0005-0000-0000-0000300B0000}"/>
    <cellStyle name="tableau | cellule | total | decimal 4 5 2" xfId="2854" xr:uid="{00000000-0005-0000-0000-0000310B0000}"/>
    <cellStyle name="tableau | cellule | total | decimal 4 5 3" xfId="2855" xr:uid="{00000000-0005-0000-0000-0000320B0000}"/>
    <cellStyle name="tableau | cellule | total | decimal 4 6" xfId="2856" xr:uid="{00000000-0005-0000-0000-0000330B0000}"/>
    <cellStyle name="tableau | cellule | total | decimal 4 7" xfId="2857" xr:uid="{00000000-0005-0000-0000-0000340B0000}"/>
    <cellStyle name="tableau | cellule | total | entier" xfId="2858" xr:uid="{00000000-0005-0000-0000-0000350B0000}"/>
    <cellStyle name="tableau | cellule | total | entier 2" xfId="2859" xr:uid="{00000000-0005-0000-0000-0000360B0000}"/>
    <cellStyle name="tableau | cellule | total | entier 2 2" xfId="2860" xr:uid="{00000000-0005-0000-0000-0000370B0000}"/>
    <cellStyle name="tableau | cellule | total | entier 2 2 2" xfId="2861" xr:uid="{00000000-0005-0000-0000-0000380B0000}"/>
    <cellStyle name="tableau | cellule | total | entier 2 2 3" xfId="2862" xr:uid="{00000000-0005-0000-0000-0000390B0000}"/>
    <cellStyle name="tableau | cellule | total | entier 2 3" xfId="2863" xr:uid="{00000000-0005-0000-0000-00003A0B0000}"/>
    <cellStyle name="tableau | cellule | total | entier 2 4" xfId="2864" xr:uid="{00000000-0005-0000-0000-00003B0B0000}"/>
    <cellStyle name="tableau | cellule | total | entier 3" xfId="2865" xr:uid="{00000000-0005-0000-0000-00003C0B0000}"/>
    <cellStyle name="tableau | cellule | total | entier 3 2" xfId="2866" xr:uid="{00000000-0005-0000-0000-00003D0B0000}"/>
    <cellStyle name="tableau | cellule | total | entier 3 3" xfId="2867" xr:uid="{00000000-0005-0000-0000-00003E0B0000}"/>
    <cellStyle name="tableau | cellule | total | entier 4" xfId="2868" xr:uid="{00000000-0005-0000-0000-00003F0B0000}"/>
    <cellStyle name="tableau | cellule | total | entier 4 2" xfId="2869" xr:uid="{00000000-0005-0000-0000-0000400B0000}"/>
    <cellStyle name="tableau | cellule | total | entier 4 3" xfId="2870" xr:uid="{00000000-0005-0000-0000-0000410B0000}"/>
    <cellStyle name="tableau | cellule | total | entier 5" xfId="2871" xr:uid="{00000000-0005-0000-0000-0000420B0000}"/>
    <cellStyle name="tableau | cellule | total | entier 5 2" xfId="2872" xr:uid="{00000000-0005-0000-0000-0000430B0000}"/>
    <cellStyle name="tableau | cellule | total | entier 5 3" xfId="2873" xr:uid="{00000000-0005-0000-0000-0000440B0000}"/>
    <cellStyle name="tableau | cellule | total | entier 6" xfId="2874" xr:uid="{00000000-0005-0000-0000-0000450B0000}"/>
    <cellStyle name="tableau | cellule | total | entier 7" xfId="2875" xr:uid="{00000000-0005-0000-0000-0000460B0000}"/>
    <cellStyle name="tableau | cellule | total | euro | decimal 1" xfId="2876" xr:uid="{00000000-0005-0000-0000-0000470B0000}"/>
    <cellStyle name="tableau | cellule | total | euro | decimal 1 2" xfId="2877" xr:uid="{00000000-0005-0000-0000-0000480B0000}"/>
    <cellStyle name="tableau | cellule | total | euro | decimal 1 2 2" xfId="2878" xr:uid="{00000000-0005-0000-0000-0000490B0000}"/>
    <cellStyle name="tableau | cellule | total | euro | decimal 1 2 2 2" xfId="2879" xr:uid="{00000000-0005-0000-0000-00004A0B0000}"/>
    <cellStyle name="tableau | cellule | total | euro | decimal 1 2 2 3" xfId="2880" xr:uid="{00000000-0005-0000-0000-00004B0B0000}"/>
    <cellStyle name="tableau | cellule | total | euro | decimal 1 2 3" xfId="2881" xr:uid="{00000000-0005-0000-0000-00004C0B0000}"/>
    <cellStyle name="tableau | cellule | total | euro | decimal 1 2 4" xfId="2882" xr:uid="{00000000-0005-0000-0000-00004D0B0000}"/>
    <cellStyle name="tableau | cellule | total | euro | decimal 1 3" xfId="2883" xr:uid="{00000000-0005-0000-0000-00004E0B0000}"/>
    <cellStyle name="tableau | cellule | total | euro | decimal 1 3 2" xfId="2884" xr:uid="{00000000-0005-0000-0000-00004F0B0000}"/>
    <cellStyle name="tableau | cellule | total | euro | decimal 1 3 3" xfId="2885" xr:uid="{00000000-0005-0000-0000-0000500B0000}"/>
    <cellStyle name="tableau | cellule | total | euro | decimal 1 4" xfId="2886" xr:uid="{00000000-0005-0000-0000-0000510B0000}"/>
    <cellStyle name="tableau | cellule | total | euro | decimal 1 4 2" xfId="2887" xr:uid="{00000000-0005-0000-0000-0000520B0000}"/>
    <cellStyle name="tableau | cellule | total | euro | decimal 1 4 3" xfId="2888" xr:uid="{00000000-0005-0000-0000-0000530B0000}"/>
    <cellStyle name="tableau | cellule | total | euro | decimal 1 5" xfId="2889" xr:uid="{00000000-0005-0000-0000-0000540B0000}"/>
    <cellStyle name="tableau | cellule | total | euro | decimal 1 5 2" xfId="2890" xr:uid="{00000000-0005-0000-0000-0000550B0000}"/>
    <cellStyle name="tableau | cellule | total | euro | decimal 1 5 3" xfId="2891" xr:uid="{00000000-0005-0000-0000-0000560B0000}"/>
    <cellStyle name="tableau | cellule | total | euro | decimal 1 6" xfId="2892" xr:uid="{00000000-0005-0000-0000-0000570B0000}"/>
    <cellStyle name="tableau | cellule | total | euro | decimal 1 7" xfId="2893" xr:uid="{00000000-0005-0000-0000-0000580B0000}"/>
    <cellStyle name="tableau | cellule | total | euro | decimal 2" xfId="2894" xr:uid="{00000000-0005-0000-0000-0000590B0000}"/>
    <cellStyle name="tableau | cellule | total | euro | decimal 2 2" xfId="2895" xr:uid="{00000000-0005-0000-0000-00005A0B0000}"/>
    <cellStyle name="tableau | cellule | total | euro | decimal 2 2 2" xfId="2896" xr:uid="{00000000-0005-0000-0000-00005B0B0000}"/>
    <cellStyle name="tableau | cellule | total | euro | decimal 2 2 2 2" xfId="2897" xr:uid="{00000000-0005-0000-0000-00005C0B0000}"/>
    <cellStyle name="tableau | cellule | total | euro | decimal 2 2 2 3" xfId="2898" xr:uid="{00000000-0005-0000-0000-00005D0B0000}"/>
    <cellStyle name="tableau | cellule | total | euro | decimal 2 2 3" xfId="2899" xr:uid="{00000000-0005-0000-0000-00005E0B0000}"/>
    <cellStyle name="tableau | cellule | total | euro | decimal 2 2 4" xfId="2900" xr:uid="{00000000-0005-0000-0000-00005F0B0000}"/>
    <cellStyle name="tableau | cellule | total | euro | decimal 2 3" xfId="2901" xr:uid="{00000000-0005-0000-0000-0000600B0000}"/>
    <cellStyle name="tableau | cellule | total | euro | decimal 2 3 2" xfId="2902" xr:uid="{00000000-0005-0000-0000-0000610B0000}"/>
    <cellStyle name="tableau | cellule | total | euro | decimal 2 3 3" xfId="2903" xr:uid="{00000000-0005-0000-0000-0000620B0000}"/>
    <cellStyle name="tableau | cellule | total | euro | decimal 2 4" xfId="2904" xr:uid="{00000000-0005-0000-0000-0000630B0000}"/>
    <cellStyle name="tableau | cellule | total | euro | decimal 2 4 2" xfId="2905" xr:uid="{00000000-0005-0000-0000-0000640B0000}"/>
    <cellStyle name="tableau | cellule | total | euro | decimal 2 4 3" xfId="2906" xr:uid="{00000000-0005-0000-0000-0000650B0000}"/>
    <cellStyle name="tableau | cellule | total | euro | decimal 2 5" xfId="2907" xr:uid="{00000000-0005-0000-0000-0000660B0000}"/>
    <cellStyle name="tableau | cellule | total | euro | decimal 2 5 2" xfId="2908" xr:uid="{00000000-0005-0000-0000-0000670B0000}"/>
    <cellStyle name="tableau | cellule | total | euro | decimal 2 5 3" xfId="2909" xr:uid="{00000000-0005-0000-0000-0000680B0000}"/>
    <cellStyle name="tableau | cellule | total | euro | decimal 2 6" xfId="2910" xr:uid="{00000000-0005-0000-0000-0000690B0000}"/>
    <cellStyle name="tableau | cellule | total | euro | decimal 2 7" xfId="2911" xr:uid="{00000000-0005-0000-0000-00006A0B0000}"/>
    <cellStyle name="tableau | cellule | total | euro | entier" xfId="2912" xr:uid="{00000000-0005-0000-0000-00006B0B0000}"/>
    <cellStyle name="tableau | cellule | total | euro | entier 2" xfId="2913" xr:uid="{00000000-0005-0000-0000-00006C0B0000}"/>
    <cellStyle name="tableau | cellule | total | euro | entier 2 2" xfId="2914" xr:uid="{00000000-0005-0000-0000-00006D0B0000}"/>
    <cellStyle name="tableau | cellule | total | euro | entier 2 2 2" xfId="2915" xr:uid="{00000000-0005-0000-0000-00006E0B0000}"/>
    <cellStyle name="tableau | cellule | total | euro | entier 2 2 3" xfId="2916" xr:uid="{00000000-0005-0000-0000-00006F0B0000}"/>
    <cellStyle name="tableau | cellule | total | euro | entier 2 3" xfId="2917" xr:uid="{00000000-0005-0000-0000-0000700B0000}"/>
    <cellStyle name="tableau | cellule | total | euro | entier 2 4" xfId="2918" xr:uid="{00000000-0005-0000-0000-0000710B0000}"/>
    <cellStyle name="tableau | cellule | total | euro | entier 3" xfId="2919" xr:uid="{00000000-0005-0000-0000-0000720B0000}"/>
    <cellStyle name="tableau | cellule | total | euro | entier 3 2" xfId="2920" xr:uid="{00000000-0005-0000-0000-0000730B0000}"/>
    <cellStyle name="tableau | cellule | total | euro | entier 3 3" xfId="2921" xr:uid="{00000000-0005-0000-0000-0000740B0000}"/>
    <cellStyle name="tableau | cellule | total | euro | entier 4" xfId="2922" xr:uid="{00000000-0005-0000-0000-0000750B0000}"/>
    <cellStyle name="tableau | cellule | total | euro | entier 4 2" xfId="2923" xr:uid="{00000000-0005-0000-0000-0000760B0000}"/>
    <cellStyle name="tableau | cellule | total | euro | entier 4 3" xfId="2924" xr:uid="{00000000-0005-0000-0000-0000770B0000}"/>
    <cellStyle name="tableau | cellule | total | euro | entier 5" xfId="2925" xr:uid="{00000000-0005-0000-0000-0000780B0000}"/>
    <cellStyle name="tableau | cellule | total | euro | entier 5 2" xfId="2926" xr:uid="{00000000-0005-0000-0000-0000790B0000}"/>
    <cellStyle name="tableau | cellule | total | euro | entier 5 3" xfId="2927" xr:uid="{00000000-0005-0000-0000-00007A0B0000}"/>
    <cellStyle name="tableau | cellule | total | euro | entier 6" xfId="2928" xr:uid="{00000000-0005-0000-0000-00007B0B0000}"/>
    <cellStyle name="tableau | cellule | total | euro | entier 7" xfId="2929" xr:uid="{00000000-0005-0000-0000-00007C0B0000}"/>
    <cellStyle name="tableau | cellule | total | franc | decimal 1" xfId="2930" xr:uid="{00000000-0005-0000-0000-00007D0B0000}"/>
    <cellStyle name="tableau | cellule | total | franc | decimal 1 2" xfId="2931" xr:uid="{00000000-0005-0000-0000-00007E0B0000}"/>
    <cellStyle name="tableau | cellule | total | franc | decimal 1 2 2" xfId="2932" xr:uid="{00000000-0005-0000-0000-00007F0B0000}"/>
    <cellStyle name="tableau | cellule | total | franc | decimal 1 2 2 2" xfId="2933" xr:uid="{00000000-0005-0000-0000-0000800B0000}"/>
    <cellStyle name="tableau | cellule | total | franc | decimal 1 2 2 3" xfId="2934" xr:uid="{00000000-0005-0000-0000-0000810B0000}"/>
    <cellStyle name="tableau | cellule | total | franc | decimal 1 2 3" xfId="2935" xr:uid="{00000000-0005-0000-0000-0000820B0000}"/>
    <cellStyle name="tableau | cellule | total | franc | decimal 1 2 4" xfId="2936" xr:uid="{00000000-0005-0000-0000-0000830B0000}"/>
    <cellStyle name="tableau | cellule | total | franc | decimal 1 3" xfId="2937" xr:uid="{00000000-0005-0000-0000-0000840B0000}"/>
    <cellStyle name="tableau | cellule | total | franc | decimal 1 3 2" xfId="2938" xr:uid="{00000000-0005-0000-0000-0000850B0000}"/>
    <cellStyle name="tableau | cellule | total | franc | decimal 1 3 3" xfId="2939" xr:uid="{00000000-0005-0000-0000-0000860B0000}"/>
    <cellStyle name="tableau | cellule | total | franc | decimal 1 4" xfId="2940" xr:uid="{00000000-0005-0000-0000-0000870B0000}"/>
    <cellStyle name="tableau | cellule | total | franc | decimal 1 4 2" xfId="2941" xr:uid="{00000000-0005-0000-0000-0000880B0000}"/>
    <cellStyle name="tableau | cellule | total | franc | decimal 1 4 3" xfId="2942" xr:uid="{00000000-0005-0000-0000-0000890B0000}"/>
    <cellStyle name="tableau | cellule | total | franc | decimal 1 5" xfId="2943" xr:uid="{00000000-0005-0000-0000-00008A0B0000}"/>
    <cellStyle name="tableau | cellule | total | franc | decimal 1 5 2" xfId="2944" xr:uid="{00000000-0005-0000-0000-00008B0B0000}"/>
    <cellStyle name="tableau | cellule | total | franc | decimal 1 5 3" xfId="2945" xr:uid="{00000000-0005-0000-0000-00008C0B0000}"/>
    <cellStyle name="tableau | cellule | total | franc | decimal 1 6" xfId="2946" xr:uid="{00000000-0005-0000-0000-00008D0B0000}"/>
    <cellStyle name="tableau | cellule | total | franc | decimal 1 7" xfId="2947" xr:uid="{00000000-0005-0000-0000-00008E0B0000}"/>
    <cellStyle name="tableau | cellule | total | franc | decimal 2" xfId="2948" xr:uid="{00000000-0005-0000-0000-00008F0B0000}"/>
    <cellStyle name="tableau | cellule | total | franc | decimal 2 2" xfId="2949" xr:uid="{00000000-0005-0000-0000-0000900B0000}"/>
    <cellStyle name="tableau | cellule | total | franc | decimal 2 2 2" xfId="2950" xr:uid="{00000000-0005-0000-0000-0000910B0000}"/>
    <cellStyle name="tableau | cellule | total | franc | decimal 2 2 2 2" xfId="2951" xr:uid="{00000000-0005-0000-0000-0000920B0000}"/>
    <cellStyle name="tableau | cellule | total | franc | decimal 2 2 2 3" xfId="2952" xr:uid="{00000000-0005-0000-0000-0000930B0000}"/>
    <cellStyle name="tableau | cellule | total | franc | decimal 2 2 3" xfId="2953" xr:uid="{00000000-0005-0000-0000-0000940B0000}"/>
    <cellStyle name="tableau | cellule | total | franc | decimal 2 2 4" xfId="2954" xr:uid="{00000000-0005-0000-0000-0000950B0000}"/>
    <cellStyle name="tableau | cellule | total | franc | decimal 2 3" xfId="2955" xr:uid="{00000000-0005-0000-0000-0000960B0000}"/>
    <cellStyle name="tableau | cellule | total | franc | decimal 2 3 2" xfId="2956" xr:uid="{00000000-0005-0000-0000-0000970B0000}"/>
    <cellStyle name="tableau | cellule | total | franc | decimal 2 3 3" xfId="2957" xr:uid="{00000000-0005-0000-0000-0000980B0000}"/>
    <cellStyle name="tableau | cellule | total | franc | decimal 2 4" xfId="2958" xr:uid="{00000000-0005-0000-0000-0000990B0000}"/>
    <cellStyle name="tableau | cellule | total | franc | decimal 2 4 2" xfId="2959" xr:uid="{00000000-0005-0000-0000-00009A0B0000}"/>
    <cellStyle name="tableau | cellule | total | franc | decimal 2 4 3" xfId="2960" xr:uid="{00000000-0005-0000-0000-00009B0B0000}"/>
    <cellStyle name="tableau | cellule | total | franc | decimal 2 5" xfId="2961" xr:uid="{00000000-0005-0000-0000-00009C0B0000}"/>
    <cellStyle name="tableau | cellule | total | franc | decimal 2 5 2" xfId="2962" xr:uid="{00000000-0005-0000-0000-00009D0B0000}"/>
    <cellStyle name="tableau | cellule | total | franc | decimal 2 5 3" xfId="2963" xr:uid="{00000000-0005-0000-0000-00009E0B0000}"/>
    <cellStyle name="tableau | cellule | total | franc | decimal 2 6" xfId="2964" xr:uid="{00000000-0005-0000-0000-00009F0B0000}"/>
    <cellStyle name="tableau | cellule | total | franc | decimal 2 7" xfId="2965" xr:uid="{00000000-0005-0000-0000-0000A00B0000}"/>
    <cellStyle name="tableau | cellule | total | franc | entier" xfId="2966" xr:uid="{00000000-0005-0000-0000-0000A10B0000}"/>
    <cellStyle name="tableau | cellule | total | franc | entier 2" xfId="2967" xr:uid="{00000000-0005-0000-0000-0000A20B0000}"/>
    <cellStyle name="tableau | cellule | total | franc | entier 2 2" xfId="2968" xr:uid="{00000000-0005-0000-0000-0000A30B0000}"/>
    <cellStyle name="tableau | cellule | total | franc | entier 2 2 2" xfId="2969" xr:uid="{00000000-0005-0000-0000-0000A40B0000}"/>
    <cellStyle name="tableau | cellule | total | franc | entier 2 2 3" xfId="2970" xr:uid="{00000000-0005-0000-0000-0000A50B0000}"/>
    <cellStyle name="tableau | cellule | total | franc | entier 2 3" xfId="2971" xr:uid="{00000000-0005-0000-0000-0000A60B0000}"/>
    <cellStyle name="tableau | cellule | total | franc | entier 2 4" xfId="2972" xr:uid="{00000000-0005-0000-0000-0000A70B0000}"/>
    <cellStyle name="tableau | cellule | total | franc | entier 3" xfId="2973" xr:uid="{00000000-0005-0000-0000-0000A80B0000}"/>
    <cellStyle name="tableau | cellule | total | franc | entier 3 2" xfId="2974" xr:uid="{00000000-0005-0000-0000-0000A90B0000}"/>
    <cellStyle name="tableau | cellule | total | franc | entier 3 3" xfId="2975" xr:uid="{00000000-0005-0000-0000-0000AA0B0000}"/>
    <cellStyle name="tableau | cellule | total | franc | entier 4" xfId="2976" xr:uid="{00000000-0005-0000-0000-0000AB0B0000}"/>
    <cellStyle name="tableau | cellule | total | franc | entier 4 2" xfId="2977" xr:uid="{00000000-0005-0000-0000-0000AC0B0000}"/>
    <cellStyle name="tableau | cellule | total | franc | entier 4 3" xfId="2978" xr:uid="{00000000-0005-0000-0000-0000AD0B0000}"/>
    <cellStyle name="tableau | cellule | total | franc | entier 5" xfId="2979" xr:uid="{00000000-0005-0000-0000-0000AE0B0000}"/>
    <cellStyle name="tableau | cellule | total | franc | entier 5 2" xfId="2980" xr:uid="{00000000-0005-0000-0000-0000AF0B0000}"/>
    <cellStyle name="tableau | cellule | total | franc | entier 5 3" xfId="2981" xr:uid="{00000000-0005-0000-0000-0000B00B0000}"/>
    <cellStyle name="tableau | cellule | total | franc | entier 6" xfId="2982" xr:uid="{00000000-0005-0000-0000-0000B10B0000}"/>
    <cellStyle name="tableau | cellule | total | franc | entier 7" xfId="2983" xr:uid="{00000000-0005-0000-0000-0000B20B0000}"/>
    <cellStyle name="tableau | cellule | total | pourcentage | decimal 1" xfId="2984" xr:uid="{00000000-0005-0000-0000-0000B30B0000}"/>
    <cellStyle name="tableau | cellule | total | pourcentage | decimal 1 2" xfId="2985" xr:uid="{00000000-0005-0000-0000-0000B40B0000}"/>
    <cellStyle name="tableau | cellule | total | pourcentage | decimal 1 2 2" xfId="2986" xr:uid="{00000000-0005-0000-0000-0000B50B0000}"/>
    <cellStyle name="tableau | cellule | total | pourcentage | decimal 1 2 2 2" xfId="2987" xr:uid="{00000000-0005-0000-0000-0000B60B0000}"/>
    <cellStyle name="tableau | cellule | total | pourcentage | decimal 1 2 2 3" xfId="2988" xr:uid="{00000000-0005-0000-0000-0000B70B0000}"/>
    <cellStyle name="tableau | cellule | total | pourcentage | decimal 1 2 3" xfId="2989" xr:uid="{00000000-0005-0000-0000-0000B80B0000}"/>
    <cellStyle name="tableau | cellule | total | pourcentage | decimal 1 2 4" xfId="2990" xr:uid="{00000000-0005-0000-0000-0000B90B0000}"/>
    <cellStyle name="tableau | cellule | total | pourcentage | decimal 1 3" xfId="2991" xr:uid="{00000000-0005-0000-0000-0000BA0B0000}"/>
    <cellStyle name="tableau | cellule | total | pourcentage | decimal 1 3 2" xfId="2992" xr:uid="{00000000-0005-0000-0000-0000BB0B0000}"/>
    <cellStyle name="tableau | cellule | total | pourcentage | decimal 1 3 3" xfId="2993" xr:uid="{00000000-0005-0000-0000-0000BC0B0000}"/>
    <cellStyle name="tableau | cellule | total | pourcentage | decimal 1 4" xfId="2994" xr:uid="{00000000-0005-0000-0000-0000BD0B0000}"/>
    <cellStyle name="tableau | cellule | total | pourcentage | decimal 1 4 2" xfId="2995" xr:uid="{00000000-0005-0000-0000-0000BE0B0000}"/>
    <cellStyle name="tableau | cellule | total | pourcentage | decimal 1 4 3" xfId="2996" xr:uid="{00000000-0005-0000-0000-0000BF0B0000}"/>
    <cellStyle name="tableau | cellule | total | pourcentage | decimal 1 5" xfId="2997" xr:uid="{00000000-0005-0000-0000-0000C00B0000}"/>
    <cellStyle name="tableau | cellule | total | pourcentage | decimal 1 5 2" xfId="2998" xr:uid="{00000000-0005-0000-0000-0000C10B0000}"/>
    <cellStyle name="tableau | cellule | total | pourcentage | decimal 1 5 3" xfId="2999" xr:uid="{00000000-0005-0000-0000-0000C20B0000}"/>
    <cellStyle name="tableau | cellule | total | pourcentage | decimal 1 6" xfId="3000" xr:uid="{00000000-0005-0000-0000-0000C30B0000}"/>
    <cellStyle name="tableau | cellule | total | pourcentage | decimal 1 7" xfId="3001" xr:uid="{00000000-0005-0000-0000-0000C40B0000}"/>
    <cellStyle name="tableau | cellule | total | pourcentage | decimal 2" xfId="3002" xr:uid="{00000000-0005-0000-0000-0000C50B0000}"/>
    <cellStyle name="tableau | cellule | total | pourcentage | decimal 2 2" xfId="3003" xr:uid="{00000000-0005-0000-0000-0000C60B0000}"/>
    <cellStyle name="tableau | cellule | total | pourcentage | decimal 2 2 2" xfId="3004" xr:uid="{00000000-0005-0000-0000-0000C70B0000}"/>
    <cellStyle name="tableau | cellule | total | pourcentage | decimal 2 2 2 2" xfId="3005" xr:uid="{00000000-0005-0000-0000-0000C80B0000}"/>
    <cellStyle name="tableau | cellule | total | pourcentage | decimal 2 2 2 3" xfId="3006" xr:uid="{00000000-0005-0000-0000-0000C90B0000}"/>
    <cellStyle name="tableau | cellule | total | pourcentage | decimal 2 2 3" xfId="3007" xr:uid="{00000000-0005-0000-0000-0000CA0B0000}"/>
    <cellStyle name="tableau | cellule | total | pourcentage | decimal 2 2 4" xfId="3008" xr:uid="{00000000-0005-0000-0000-0000CB0B0000}"/>
    <cellStyle name="tableau | cellule | total | pourcentage | decimal 2 3" xfId="3009" xr:uid="{00000000-0005-0000-0000-0000CC0B0000}"/>
    <cellStyle name="tableau | cellule | total | pourcentage | decimal 2 3 2" xfId="3010" xr:uid="{00000000-0005-0000-0000-0000CD0B0000}"/>
    <cellStyle name="tableau | cellule | total | pourcentage | decimal 2 3 3" xfId="3011" xr:uid="{00000000-0005-0000-0000-0000CE0B0000}"/>
    <cellStyle name="tableau | cellule | total | pourcentage | decimal 2 4" xfId="3012" xr:uid="{00000000-0005-0000-0000-0000CF0B0000}"/>
    <cellStyle name="tableau | cellule | total | pourcentage | decimal 2 4 2" xfId="3013" xr:uid="{00000000-0005-0000-0000-0000D00B0000}"/>
    <cellStyle name="tableau | cellule | total | pourcentage | decimal 2 4 3" xfId="3014" xr:uid="{00000000-0005-0000-0000-0000D10B0000}"/>
    <cellStyle name="tableau | cellule | total | pourcentage | decimal 2 5" xfId="3015" xr:uid="{00000000-0005-0000-0000-0000D20B0000}"/>
    <cellStyle name="tableau | cellule | total | pourcentage | decimal 2 5 2" xfId="3016" xr:uid="{00000000-0005-0000-0000-0000D30B0000}"/>
    <cellStyle name="tableau | cellule | total | pourcentage | decimal 2 5 3" xfId="3017" xr:uid="{00000000-0005-0000-0000-0000D40B0000}"/>
    <cellStyle name="tableau | cellule | total | pourcentage | decimal 2 6" xfId="3018" xr:uid="{00000000-0005-0000-0000-0000D50B0000}"/>
    <cellStyle name="tableau | cellule | total | pourcentage | decimal 2 7" xfId="3019" xr:uid="{00000000-0005-0000-0000-0000D60B0000}"/>
    <cellStyle name="tableau | cellule | total | pourcentage | entier" xfId="3020" xr:uid="{00000000-0005-0000-0000-0000D70B0000}"/>
    <cellStyle name="tableau | cellule | total | pourcentage | entier 2" xfId="3021" xr:uid="{00000000-0005-0000-0000-0000D80B0000}"/>
    <cellStyle name="tableau | cellule | total | pourcentage | entier 2 2" xfId="3022" xr:uid="{00000000-0005-0000-0000-0000D90B0000}"/>
    <cellStyle name="tableau | cellule | total | pourcentage | entier 2 2 2" xfId="3023" xr:uid="{00000000-0005-0000-0000-0000DA0B0000}"/>
    <cellStyle name="tableau | cellule | total | pourcentage | entier 2 2 3" xfId="3024" xr:uid="{00000000-0005-0000-0000-0000DB0B0000}"/>
    <cellStyle name="tableau | cellule | total | pourcentage | entier 2 3" xfId="3025" xr:uid="{00000000-0005-0000-0000-0000DC0B0000}"/>
    <cellStyle name="tableau | cellule | total | pourcentage | entier 2 4" xfId="3026" xr:uid="{00000000-0005-0000-0000-0000DD0B0000}"/>
    <cellStyle name="tableau | cellule | total | pourcentage | entier 3" xfId="3027" xr:uid="{00000000-0005-0000-0000-0000DE0B0000}"/>
    <cellStyle name="tableau | cellule | total | pourcentage | entier 3 2" xfId="3028" xr:uid="{00000000-0005-0000-0000-0000DF0B0000}"/>
    <cellStyle name="tableau | cellule | total | pourcentage | entier 3 3" xfId="3029" xr:uid="{00000000-0005-0000-0000-0000E00B0000}"/>
    <cellStyle name="tableau | cellule | total | pourcentage | entier 4" xfId="3030" xr:uid="{00000000-0005-0000-0000-0000E10B0000}"/>
    <cellStyle name="tableau | cellule | total | pourcentage | entier 4 2" xfId="3031" xr:uid="{00000000-0005-0000-0000-0000E20B0000}"/>
    <cellStyle name="tableau | cellule | total | pourcentage | entier 4 3" xfId="3032" xr:uid="{00000000-0005-0000-0000-0000E30B0000}"/>
    <cellStyle name="tableau | cellule | total | pourcentage | entier 5" xfId="3033" xr:uid="{00000000-0005-0000-0000-0000E40B0000}"/>
    <cellStyle name="tableau | cellule | total | pourcentage | entier 5 2" xfId="3034" xr:uid="{00000000-0005-0000-0000-0000E50B0000}"/>
    <cellStyle name="tableau | cellule | total | pourcentage | entier 5 3" xfId="3035" xr:uid="{00000000-0005-0000-0000-0000E60B0000}"/>
    <cellStyle name="tableau | cellule | total | pourcentage | entier 6" xfId="3036" xr:uid="{00000000-0005-0000-0000-0000E70B0000}"/>
    <cellStyle name="tableau | cellule | total | pourcentage | entier 7" xfId="3037" xr:uid="{00000000-0005-0000-0000-0000E80B0000}"/>
    <cellStyle name="tableau | cellule | total | standard" xfId="3038" xr:uid="{00000000-0005-0000-0000-0000E90B0000}"/>
    <cellStyle name="tableau | cellule | total | standard 2" xfId="3039" xr:uid="{00000000-0005-0000-0000-0000EA0B0000}"/>
    <cellStyle name="tableau | cellule | total | standard 2 2" xfId="3040" xr:uid="{00000000-0005-0000-0000-0000EB0B0000}"/>
    <cellStyle name="tableau | cellule | total | standard 2 2 2" xfId="3041" xr:uid="{00000000-0005-0000-0000-0000EC0B0000}"/>
    <cellStyle name="tableau | cellule | total | standard 2 2 3" xfId="3042" xr:uid="{00000000-0005-0000-0000-0000ED0B0000}"/>
    <cellStyle name="tableau | cellule | total | standard 2 3" xfId="3043" xr:uid="{00000000-0005-0000-0000-0000EE0B0000}"/>
    <cellStyle name="tableau | cellule | total | standard 2 4" xfId="3044" xr:uid="{00000000-0005-0000-0000-0000EF0B0000}"/>
    <cellStyle name="tableau | cellule | total | standard 3" xfId="3045" xr:uid="{00000000-0005-0000-0000-0000F00B0000}"/>
    <cellStyle name="tableau | cellule | total | standard 3 2" xfId="3046" xr:uid="{00000000-0005-0000-0000-0000F10B0000}"/>
    <cellStyle name="tableau | cellule | total | standard 3 3" xfId="3047" xr:uid="{00000000-0005-0000-0000-0000F20B0000}"/>
    <cellStyle name="tableau | cellule | total | standard 4" xfId="3048" xr:uid="{00000000-0005-0000-0000-0000F30B0000}"/>
    <cellStyle name="tableau | cellule | total | standard 4 2" xfId="3049" xr:uid="{00000000-0005-0000-0000-0000F40B0000}"/>
    <cellStyle name="tableau | cellule | total | standard 4 3" xfId="3050" xr:uid="{00000000-0005-0000-0000-0000F50B0000}"/>
    <cellStyle name="tableau | cellule | total | standard 5" xfId="3051" xr:uid="{00000000-0005-0000-0000-0000F60B0000}"/>
    <cellStyle name="tableau | cellule | total | standard 5 2" xfId="3052" xr:uid="{00000000-0005-0000-0000-0000F70B0000}"/>
    <cellStyle name="tableau | cellule | total | standard 5 3" xfId="3053" xr:uid="{00000000-0005-0000-0000-0000F80B0000}"/>
    <cellStyle name="tableau | cellule | total | standard 6" xfId="3054" xr:uid="{00000000-0005-0000-0000-0000F90B0000}"/>
    <cellStyle name="tableau | cellule | total | standard 7" xfId="3055" xr:uid="{00000000-0005-0000-0000-0000FA0B0000}"/>
    <cellStyle name="tableau | cellule | total | texte" xfId="3056" xr:uid="{00000000-0005-0000-0000-0000FB0B0000}"/>
    <cellStyle name="tableau | cellule | total | texte 2" xfId="3057" xr:uid="{00000000-0005-0000-0000-0000FC0B0000}"/>
    <cellStyle name="tableau | cellule | total | texte 2 2" xfId="3058" xr:uid="{00000000-0005-0000-0000-0000FD0B0000}"/>
    <cellStyle name="tableau | cellule | total | texte 2 2 2" xfId="3059" xr:uid="{00000000-0005-0000-0000-0000FE0B0000}"/>
    <cellStyle name="tableau | cellule | total | texte 2 2 3" xfId="3060" xr:uid="{00000000-0005-0000-0000-0000FF0B0000}"/>
    <cellStyle name="tableau | cellule | total | texte 2 3" xfId="3061" xr:uid="{00000000-0005-0000-0000-0000000C0000}"/>
    <cellStyle name="tableau | cellule | total | texte 2 4" xfId="3062" xr:uid="{00000000-0005-0000-0000-0000010C0000}"/>
    <cellStyle name="tableau | cellule | total | texte 3" xfId="3063" xr:uid="{00000000-0005-0000-0000-0000020C0000}"/>
    <cellStyle name="tableau | cellule | total | texte 3 2" xfId="3064" xr:uid="{00000000-0005-0000-0000-0000030C0000}"/>
    <cellStyle name="tableau | cellule | total | texte 3 3" xfId="3065" xr:uid="{00000000-0005-0000-0000-0000040C0000}"/>
    <cellStyle name="tableau | cellule | total | texte 4" xfId="3066" xr:uid="{00000000-0005-0000-0000-0000050C0000}"/>
    <cellStyle name="tableau | cellule | total | texte 4 2" xfId="3067" xr:uid="{00000000-0005-0000-0000-0000060C0000}"/>
    <cellStyle name="tableau | cellule | total | texte 4 3" xfId="3068" xr:uid="{00000000-0005-0000-0000-0000070C0000}"/>
    <cellStyle name="tableau | cellule | total | texte 5" xfId="3069" xr:uid="{00000000-0005-0000-0000-0000080C0000}"/>
    <cellStyle name="tableau | cellule | total | texte 5 2" xfId="3070" xr:uid="{00000000-0005-0000-0000-0000090C0000}"/>
    <cellStyle name="tableau | cellule | total | texte 5 3" xfId="3071" xr:uid="{00000000-0005-0000-0000-00000A0C0000}"/>
    <cellStyle name="tableau | cellule | total | texte 6" xfId="3072" xr:uid="{00000000-0005-0000-0000-00000B0C0000}"/>
    <cellStyle name="tableau | cellule | total | texte 7" xfId="3073" xr:uid="{00000000-0005-0000-0000-00000C0C0000}"/>
    <cellStyle name="tableau | coin superieur gauche" xfId="3074" xr:uid="{00000000-0005-0000-0000-00000D0C0000}"/>
    <cellStyle name="tableau | coin superieur gauche 2" xfId="3075" xr:uid="{00000000-0005-0000-0000-00000E0C0000}"/>
    <cellStyle name="tableau | coin superieur gauche 2 2" xfId="3076" xr:uid="{00000000-0005-0000-0000-00000F0C0000}"/>
    <cellStyle name="tableau | coin superieur gauche 2 3" xfId="3077" xr:uid="{00000000-0005-0000-0000-0000100C0000}"/>
    <cellStyle name="tableau | coin superieur gauche 3" xfId="3078" xr:uid="{00000000-0005-0000-0000-0000110C0000}"/>
    <cellStyle name="tableau | coin superieur gauche 3 2" xfId="3079" xr:uid="{00000000-0005-0000-0000-0000120C0000}"/>
    <cellStyle name="tableau | coin superieur gauche 3 3" xfId="3080" xr:uid="{00000000-0005-0000-0000-0000130C0000}"/>
    <cellStyle name="tableau | coin superieur gauche 4" xfId="3081" xr:uid="{00000000-0005-0000-0000-0000140C0000}"/>
    <cellStyle name="tableau | coin superieur gauche 4 2" xfId="3082" xr:uid="{00000000-0005-0000-0000-0000150C0000}"/>
    <cellStyle name="tableau | coin superieur gauche 4 3" xfId="3083" xr:uid="{00000000-0005-0000-0000-0000160C0000}"/>
    <cellStyle name="tableau | coin superieur gauche 5" xfId="3084" xr:uid="{00000000-0005-0000-0000-0000170C0000}"/>
    <cellStyle name="tableau | coin superieur gauche 5 2" xfId="3085" xr:uid="{00000000-0005-0000-0000-0000180C0000}"/>
    <cellStyle name="tableau | coin superieur gauche 5 3" xfId="3086" xr:uid="{00000000-0005-0000-0000-0000190C0000}"/>
    <cellStyle name="tableau | coin superieur gauche 6" xfId="3087" xr:uid="{00000000-0005-0000-0000-00001A0C0000}"/>
    <cellStyle name="tableau | coin superieur gauche 7" xfId="3088" xr:uid="{00000000-0005-0000-0000-00001B0C0000}"/>
    <cellStyle name="tableau | entete-colonne | series" xfId="3089" xr:uid="{00000000-0005-0000-0000-00001C0C0000}"/>
    <cellStyle name="tableau | entete-colonne | series 2" xfId="3090" xr:uid="{00000000-0005-0000-0000-00001D0C0000}"/>
    <cellStyle name="tableau | entete-colonne | series 2 2" xfId="3091" xr:uid="{00000000-0005-0000-0000-00001E0C0000}"/>
    <cellStyle name="tableau | entete-colonne | series 2 2 2" xfId="3092" xr:uid="{00000000-0005-0000-0000-00001F0C0000}"/>
    <cellStyle name="tableau | entete-colonne | series 2 2 3" xfId="3093" xr:uid="{00000000-0005-0000-0000-0000200C0000}"/>
    <cellStyle name="tableau | entete-colonne | series 2 3" xfId="3094" xr:uid="{00000000-0005-0000-0000-0000210C0000}"/>
    <cellStyle name="tableau | entete-colonne | series 2 3 2" xfId="3095" xr:uid="{00000000-0005-0000-0000-0000220C0000}"/>
    <cellStyle name="tableau | entete-colonne | series 2 3 3" xfId="3096" xr:uid="{00000000-0005-0000-0000-0000230C0000}"/>
    <cellStyle name="tableau | entete-colonne | series 2 4" xfId="3097" xr:uid="{00000000-0005-0000-0000-0000240C0000}"/>
    <cellStyle name="tableau | entete-colonne | series 2 5" xfId="3098" xr:uid="{00000000-0005-0000-0000-0000250C0000}"/>
    <cellStyle name="tableau | entete-colonne | series 3" xfId="3099" xr:uid="{00000000-0005-0000-0000-0000260C0000}"/>
    <cellStyle name="tableau | entete-colonne | series 3 2" xfId="3100" xr:uid="{00000000-0005-0000-0000-0000270C0000}"/>
    <cellStyle name="tableau | entete-colonne | series 3 2 2" xfId="3101" xr:uid="{00000000-0005-0000-0000-0000280C0000}"/>
    <cellStyle name="tableau | entete-colonne | series 3 2 3" xfId="3102" xr:uid="{00000000-0005-0000-0000-0000290C0000}"/>
    <cellStyle name="tableau | entete-colonne | series 3 3" xfId="3103" xr:uid="{00000000-0005-0000-0000-00002A0C0000}"/>
    <cellStyle name="tableau | entete-colonne | series 3 4" xfId="3104" xr:uid="{00000000-0005-0000-0000-00002B0C0000}"/>
    <cellStyle name="tableau | entete-colonne | series 4" xfId="3105" xr:uid="{00000000-0005-0000-0000-00002C0C0000}"/>
    <cellStyle name="tableau | entete-colonne | series 4 2" xfId="3106" xr:uid="{00000000-0005-0000-0000-00002D0C0000}"/>
    <cellStyle name="tableau | entete-colonne | series 4 3" xfId="3107" xr:uid="{00000000-0005-0000-0000-00002E0C0000}"/>
    <cellStyle name="tableau | entete-colonne | series 5" xfId="3108" xr:uid="{00000000-0005-0000-0000-00002F0C0000}"/>
    <cellStyle name="tableau | entete-colonne | series 5 2" xfId="3109" xr:uid="{00000000-0005-0000-0000-0000300C0000}"/>
    <cellStyle name="tableau | entete-colonne | series 5 3" xfId="3110" xr:uid="{00000000-0005-0000-0000-0000310C0000}"/>
    <cellStyle name="tableau | entete-colonne | series 6" xfId="3111" xr:uid="{00000000-0005-0000-0000-0000320C0000}"/>
    <cellStyle name="tableau | entete-colonne | series 7" xfId="3112" xr:uid="{00000000-0005-0000-0000-0000330C0000}"/>
    <cellStyle name="tableau | entete-colonne | structure | normal" xfId="3113" xr:uid="{00000000-0005-0000-0000-0000340C0000}"/>
    <cellStyle name="tableau | entete-colonne | structure | normal 2" xfId="3114" xr:uid="{00000000-0005-0000-0000-0000350C0000}"/>
    <cellStyle name="tableau | entete-colonne | structure | normal 2 2" xfId="3115" xr:uid="{00000000-0005-0000-0000-0000360C0000}"/>
    <cellStyle name="tableau | entete-colonne | structure | normal 2 3" xfId="3116" xr:uid="{00000000-0005-0000-0000-0000370C0000}"/>
    <cellStyle name="tableau | entete-colonne | structure | normal 3" xfId="3117" xr:uid="{00000000-0005-0000-0000-0000380C0000}"/>
    <cellStyle name="tableau | entete-colonne | structure | normal 3 2" xfId="3118" xr:uid="{00000000-0005-0000-0000-0000390C0000}"/>
    <cellStyle name="tableau | entete-colonne | structure | normal 3 3" xfId="3119" xr:uid="{00000000-0005-0000-0000-00003A0C0000}"/>
    <cellStyle name="tableau | entete-colonne | structure | normal 4" xfId="3120" xr:uid="{00000000-0005-0000-0000-00003B0C0000}"/>
    <cellStyle name="tableau | entete-colonne | structure | normal 4 2" xfId="3121" xr:uid="{00000000-0005-0000-0000-00003C0C0000}"/>
    <cellStyle name="tableau | entete-colonne | structure | normal 4 3" xfId="3122" xr:uid="{00000000-0005-0000-0000-00003D0C0000}"/>
    <cellStyle name="tableau | entete-colonne | structure | normal 5" xfId="3123" xr:uid="{00000000-0005-0000-0000-00003E0C0000}"/>
    <cellStyle name="tableau | entete-colonne | structure | normal 6" xfId="3124" xr:uid="{00000000-0005-0000-0000-00003F0C0000}"/>
    <cellStyle name="tableau | entete-colonne | structure | total" xfId="3125" xr:uid="{00000000-0005-0000-0000-0000400C0000}"/>
    <cellStyle name="tableau | entete-colonne | structure | total 2" xfId="3126" xr:uid="{00000000-0005-0000-0000-0000410C0000}"/>
    <cellStyle name="tableau | entete-colonne | structure | total 2 2" xfId="3127" xr:uid="{00000000-0005-0000-0000-0000420C0000}"/>
    <cellStyle name="tableau | entete-colonne | structure | total 2 3" xfId="3128" xr:uid="{00000000-0005-0000-0000-0000430C0000}"/>
    <cellStyle name="tableau | entete-colonne | structure | total 3" xfId="3129" xr:uid="{00000000-0005-0000-0000-0000440C0000}"/>
    <cellStyle name="tableau | entete-colonne | structure | total 3 2" xfId="3130" xr:uid="{00000000-0005-0000-0000-0000450C0000}"/>
    <cellStyle name="tableau | entete-colonne | structure | total 3 3" xfId="3131" xr:uid="{00000000-0005-0000-0000-0000460C0000}"/>
    <cellStyle name="tableau | entete-colonne | structure | total 4" xfId="3132" xr:uid="{00000000-0005-0000-0000-0000470C0000}"/>
    <cellStyle name="tableau | entete-colonne | structure | total 4 2" xfId="3133" xr:uid="{00000000-0005-0000-0000-0000480C0000}"/>
    <cellStyle name="tableau | entete-colonne | structure | total 4 3" xfId="3134" xr:uid="{00000000-0005-0000-0000-0000490C0000}"/>
    <cellStyle name="tableau | entete-colonne | structure | total 5" xfId="3135" xr:uid="{00000000-0005-0000-0000-00004A0C0000}"/>
    <cellStyle name="tableau | entete-colonne | structure | total 6" xfId="3136" xr:uid="{00000000-0005-0000-0000-00004B0C0000}"/>
    <cellStyle name="tableau | entete-ligne | normal" xfId="3137" xr:uid="{00000000-0005-0000-0000-00004C0C0000}"/>
    <cellStyle name="tableau | entete-ligne | normal 2" xfId="3138" xr:uid="{00000000-0005-0000-0000-00004D0C0000}"/>
    <cellStyle name="tableau | entete-ligne | normal 2 2" xfId="3139" xr:uid="{00000000-0005-0000-0000-00004E0C0000}"/>
    <cellStyle name="tableau | entete-ligne | normal 2 3" xfId="3140" xr:uid="{00000000-0005-0000-0000-00004F0C0000}"/>
    <cellStyle name="tableau | entete-ligne | normal 3" xfId="3141" xr:uid="{00000000-0005-0000-0000-0000500C0000}"/>
    <cellStyle name="tableau | entete-ligne | normal 3 2" xfId="3142" xr:uid="{00000000-0005-0000-0000-0000510C0000}"/>
    <cellStyle name="tableau | entete-ligne | normal 3 3" xfId="3143" xr:uid="{00000000-0005-0000-0000-0000520C0000}"/>
    <cellStyle name="tableau | entete-ligne | normal 4" xfId="3144" xr:uid="{00000000-0005-0000-0000-0000530C0000}"/>
    <cellStyle name="tableau | entete-ligne | normal 4 2" xfId="3145" xr:uid="{00000000-0005-0000-0000-0000540C0000}"/>
    <cellStyle name="tableau | entete-ligne | normal 4 3" xfId="3146" xr:uid="{00000000-0005-0000-0000-0000550C0000}"/>
    <cellStyle name="tableau | entete-ligne | normal 5" xfId="3147" xr:uid="{00000000-0005-0000-0000-0000560C0000}"/>
    <cellStyle name="tableau | entete-ligne | normal 5 2" xfId="3148" xr:uid="{00000000-0005-0000-0000-0000570C0000}"/>
    <cellStyle name="tableau | entete-ligne | normal 5 3" xfId="3149" xr:uid="{00000000-0005-0000-0000-0000580C0000}"/>
    <cellStyle name="tableau | entete-ligne | normal 6" xfId="3150" xr:uid="{00000000-0005-0000-0000-0000590C0000}"/>
    <cellStyle name="tableau | entete-ligne | normal 7" xfId="3151" xr:uid="{00000000-0005-0000-0000-00005A0C0000}"/>
    <cellStyle name="tableau | entete-ligne | total" xfId="3152" xr:uid="{00000000-0005-0000-0000-00005B0C0000}"/>
    <cellStyle name="tableau | entete-ligne | total 2" xfId="3153" xr:uid="{00000000-0005-0000-0000-00005C0C0000}"/>
    <cellStyle name="tableau | entete-ligne | total 2 2" xfId="3154" xr:uid="{00000000-0005-0000-0000-00005D0C0000}"/>
    <cellStyle name="tableau | entete-ligne | total 2 3" xfId="3155" xr:uid="{00000000-0005-0000-0000-00005E0C0000}"/>
    <cellStyle name="tableau | entete-ligne | total 3" xfId="3156" xr:uid="{00000000-0005-0000-0000-00005F0C0000}"/>
    <cellStyle name="tableau | entete-ligne | total 3 2" xfId="3157" xr:uid="{00000000-0005-0000-0000-0000600C0000}"/>
    <cellStyle name="tableau | entete-ligne | total 3 3" xfId="3158" xr:uid="{00000000-0005-0000-0000-0000610C0000}"/>
    <cellStyle name="tableau | entete-ligne | total 4" xfId="3159" xr:uid="{00000000-0005-0000-0000-0000620C0000}"/>
    <cellStyle name="tableau | entete-ligne | total 4 2" xfId="3160" xr:uid="{00000000-0005-0000-0000-0000630C0000}"/>
    <cellStyle name="tableau | entete-ligne | total 4 3" xfId="3161" xr:uid="{00000000-0005-0000-0000-0000640C0000}"/>
    <cellStyle name="tableau | entete-ligne | total 5" xfId="3162" xr:uid="{00000000-0005-0000-0000-0000650C0000}"/>
    <cellStyle name="tableau | entete-ligne | total 5 2" xfId="3163" xr:uid="{00000000-0005-0000-0000-0000660C0000}"/>
    <cellStyle name="tableau | entete-ligne | total 5 3" xfId="3164" xr:uid="{00000000-0005-0000-0000-0000670C0000}"/>
    <cellStyle name="tableau | entete-ligne | total 6" xfId="3165" xr:uid="{00000000-0005-0000-0000-0000680C0000}"/>
    <cellStyle name="tableau | entete-ligne | total 7" xfId="3166" xr:uid="{00000000-0005-0000-0000-0000690C0000}"/>
    <cellStyle name="tableau | indice | plage de cellules" xfId="3167" xr:uid="{00000000-0005-0000-0000-00006A0C0000}"/>
    <cellStyle name="tableau | indice | plage de cellules 2" xfId="3168" xr:uid="{00000000-0005-0000-0000-00006B0C0000}"/>
    <cellStyle name="tableau | indice | plage de cellules 2 2" xfId="3169" xr:uid="{00000000-0005-0000-0000-00006C0C0000}"/>
    <cellStyle name="tableau | indice | plage de cellules 2 3" xfId="3170" xr:uid="{00000000-0005-0000-0000-00006D0C0000}"/>
    <cellStyle name="tableau | indice | plage de cellules 3" xfId="3171" xr:uid="{00000000-0005-0000-0000-00006E0C0000}"/>
    <cellStyle name="tableau | indice | plage de cellules 3 2" xfId="3172" xr:uid="{00000000-0005-0000-0000-00006F0C0000}"/>
    <cellStyle name="tableau | indice | plage de cellules 3 3" xfId="3173" xr:uid="{00000000-0005-0000-0000-0000700C0000}"/>
    <cellStyle name="tableau | indice | plage de cellules 4" xfId="3174" xr:uid="{00000000-0005-0000-0000-0000710C0000}"/>
    <cellStyle name="tableau | indice | plage de cellules 4 2" xfId="3175" xr:uid="{00000000-0005-0000-0000-0000720C0000}"/>
    <cellStyle name="tableau | indice | plage de cellules 4 3" xfId="3176" xr:uid="{00000000-0005-0000-0000-0000730C0000}"/>
    <cellStyle name="tableau | indice | plage de cellules 5" xfId="3177" xr:uid="{00000000-0005-0000-0000-0000740C0000}"/>
    <cellStyle name="tableau | indice | plage de cellules 5 2" xfId="3178" xr:uid="{00000000-0005-0000-0000-0000750C0000}"/>
    <cellStyle name="tableau | indice | plage de cellules 5 3" xfId="3179" xr:uid="{00000000-0005-0000-0000-0000760C0000}"/>
    <cellStyle name="tableau | indice | plage de cellules 6" xfId="3180" xr:uid="{00000000-0005-0000-0000-0000770C0000}"/>
    <cellStyle name="tableau | indice | plage de cellules 7" xfId="3181" xr:uid="{00000000-0005-0000-0000-0000780C0000}"/>
    <cellStyle name="tableau | indice | texte" xfId="3182" xr:uid="{00000000-0005-0000-0000-0000790C0000}"/>
    <cellStyle name="tableau | indice | texte 2" xfId="3183" xr:uid="{00000000-0005-0000-0000-00007A0C0000}"/>
    <cellStyle name="tableau | indice | texte 2 2" xfId="3184" xr:uid="{00000000-0005-0000-0000-00007B0C0000}"/>
    <cellStyle name="tableau | indice | texte 2 3" xfId="3185" xr:uid="{00000000-0005-0000-0000-00007C0C0000}"/>
    <cellStyle name="tableau | indice | texte 3" xfId="3186" xr:uid="{00000000-0005-0000-0000-00007D0C0000}"/>
    <cellStyle name="tableau | indice | texte 3 2" xfId="3187" xr:uid="{00000000-0005-0000-0000-00007E0C0000}"/>
    <cellStyle name="tableau | indice | texte 3 3" xfId="3188" xr:uid="{00000000-0005-0000-0000-00007F0C0000}"/>
    <cellStyle name="tableau | indice | texte 4" xfId="3189" xr:uid="{00000000-0005-0000-0000-0000800C0000}"/>
    <cellStyle name="tableau | indice | texte 4 2" xfId="3190" xr:uid="{00000000-0005-0000-0000-0000810C0000}"/>
    <cellStyle name="tableau | indice | texte 4 3" xfId="3191" xr:uid="{00000000-0005-0000-0000-0000820C0000}"/>
    <cellStyle name="tableau | indice | texte 5" xfId="3192" xr:uid="{00000000-0005-0000-0000-0000830C0000}"/>
    <cellStyle name="tableau | indice | texte 5 2" xfId="3193" xr:uid="{00000000-0005-0000-0000-0000840C0000}"/>
    <cellStyle name="tableau | indice | texte 5 3" xfId="3194" xr:uid="{00000000-0005-0000-0000-0000850C0000}"/>
    <cellStyle name="tableau | indice | texte 6" xfId="3195" xr:uid="{00000000-0005-0000-0000-0000860C0000}"/>
    <cellStyle name="tableau | indice | texte 7" xfId="3196" xr:uid="{00000000-0005-0000-0000-0000870C0000}"/>
    <cellStyle name="tableau | ligne de cesure" xfId="3197" xr:uid="{00000000-0005-0000-0000-0000880C0000}"/>
    <cellStyle name="tableau | ligne de cesure 2" xfId="3198" xr:uid="{00000000-0005-0000-0000-0000890C0000}"/>
    <cellStyle name="tableau | ligne de cesure 2 2" xfId="3199" xr:uid="{00000000-0005-0000-0000-00008A0C0000}"/>
    <cellStyle name="tableau | ligne de cesure 2 2 2" xfId="3200" xr:uid="{00000000-0005-0000-0000-00008B0C0000}"/>
    <cellStyle name="tableau | ligne de cesure 2 2 3" xfId="3201" xr:uid="{00000000-0005-0000-0000-00008C0C0000}"/>
    <cellStyle name="tableau | ligne de cesure 2 3" xfId="3202" xr:uid="{00000000-0005-0000-0000-00008D0C0000}"/>
    <cellStyle name="tableau | ligne de cesure 2 4" xfId="3203" xr:uid="{00000000-0005-0000-0000-00008E0C0000}"/>
    <cellStyle name="tableau | ligne de cesure 3" xfId="3204" xr:uid="{00000000-0005-0000-0000-00008F0C0000}"/>
    <cellStyle name="tableau | ligne de cesure 3 2" xfId="3205" xr:uid="{00000000-0005-0000-0000-0000900C0000}"/>
    <cellStyle name="tableau | ligne de cesure 3 3" xfId="3206" xr:uid="{00000000-0005-0000-0000-0000910C0000}"/>
    <cellStyle name="tableau | ligne de cesure 4" xfId="3207" xr:uid="{00000000-0005-0000-0000-0000920C0000}"/>
    <cellStyle name="tableau | ligne de cesure 4 2" xfId="3208" xr:uid="{00000000-0005-0000-0000-0000930C0000}"/>
    <cellStyle name="tableau | ligne de cesure 4 3" xfId="3209" xr:uid="{00000000-0005-0000-0000-0000940C0000}"/>
    <cellStyle name="tableau | ligne de cesure 5" xfId="3210" xr:uid="{00000000-0005-0000-0000-0000950C0000}"/>
    <cellStyle name="tableau | ligne de cesure 6" xfId="3211" xr:uid="{00000000-0005-0000-0000-0000960C0000}"/>
    <cellStyle name="tableau | ligne-titre | niveau1" xfId="3212" xr:uid="{00000000-0005-0000-0000-0000970C0000}"/>
    <cellStyle name="tableau | ligne-titre | niveau1 2" xfId="3213" xr:uid="{00000000-0005-0000-0000-0000980C0000}"/>
    <cellStyle name="tableau | ligne-titre | niveau1 2 2" xfId="3214" xr:uid="{00000000-0005-0000-0000-0000990C0000}"/>
    <cellStyle name="tableau | ligne-titre | niveau1 2 3" xfId="3215" xr:uid="{00000000-0005-0000-0000-00009A0C0000}"/>
    <cellStyle name="tableau | ligne-titre | niveau1 3" xfId="3216" xr:uid="{00000000-0005-0000-0000-00009B0C0000}"/>
    <cellStyle name="tableau | ligne-titre | niveau1 3 2" xfId="3217" xr:uid="{00000000-0005-0000-0000-00009C0C0000}"/>
    <cellStyle name="tableau | ligne-titre | niveau1 3 3" xfId="3218" xr:uid="{00000000-0005-0000-0000-00009D0C0000}"/>
    <cellStyle name="tableau | ligne-titre | niveau1 4" xfId="3219" xr:uid="{00000000-0005-0000-0000-00009E0C0000}"/>
    <cellStyle name="tableau | ligne-titre | niveau1 4 2" xfId="3220" xr:uid="{00000000-0005-0000-0000-00009F0C0000}"/>
    <cellStyle name="tableau | ligne-titre | niveau1 4 3" xfId="3221" xr:uid="{00000000-0005-0000-0000-0000A00C0000}"/>
    <cellStyle name="tableau | ligne-titre | niveau1 5" xfId="3222" xr:uid="{00000000-0005-0000-0000-0000A10C0000}"/>
    <cellStyle name="tableau | ligne-titre | niveau1 5 2" xfId="3223" xr:uid="{00000000-0005-0000-0000-0000A20C0000}"/>
    <cellStyle name="tableau | ligne-titre | niveau1 5 3" xfId="3224" xr:uid="{00000000-0005-0000-0000-0000A30C0000}"/>
    <cellStyle name="tableau | ligne-titre | niveau1 6" xfId="3225" xr:uid="{00000000-0005-0000-0000-0000A40C0000}"/>
    <cellStyle name="tableau | ligne-titre | niveau1 7" xfId="3226" xr:uid="{00000000-0005-0000-0000-0000A50C0000}"/>
    <cellStyle name="tableau | ligne-titre | niveau2" xfId="3227" xr:uid="{00000000-0005-0000-0000-0000A60C0000}"/>
    <cellStyle name="tableau | ligne-titre | niveau2 2" xfId="3228" xr:uid="{00000000-0005-0000-0000-0000A70C0000}"/>
    <cellStyle name="tableau | ligne-titre | niveau2 2 2" xfId="3229" xr:uid="{00000000-0005-0000-0000-0000A80C0000}"/>
    <cellStyle name="tableau | ligne-titre | niveau2 2 3" xfId="3230" xr:uid="{00000000-0005-0000-0000-0000A90C0000}"/>
    <cellStyle name="tableau | ligne-titre | niveau2 3" xfId="3231" xr:uid="{00000000-0005-0000-0000-0000AA0C0000}"/>
    <cellStyle name="tableau | ligne-titre | niveau2 3 2" xfId="3232" xr:uid="{00000000-0005-0000-0000-0000AB0C0000}"/>
    <cellStyle name="tableau | ligne-titre | niveau2 3 3" xfId="3233" xr:uid="{00000000-0005-0000-0000-0000AC0C0000}"/>
    <cellStyle name="tableau | ligne-titre | niveau2 4" xfId="3234" xr:uid="{00000000-0005-0000-0000-0000AD0C0000}"/>
    <cellStyle name="tableau | ligne-titre | niveau2 4 2" xfId="3235" xr:uid="{00000000-0005-0000-0000-0000AE0C0000}"/>
    <cellStyle name="tableau | ligne-titre | niveau2 4 3" xfId="3236" xr:uid="{00000000-0005-0000-0000-0000AF0C0000}"/>
    <cellStyle name="tableau | ligne-titre | niveau2 5" xfId="3237" xr:uid="{00000000-0005-0000-0000-0000B00C0000}"/>
    <cellStyle name="tableau | ligne-titre | niveau2 6" xfId="3238" xr:uid="{00000000-0005-0000-0000-0000B10C0000}"/>
    <cellStyle name="tableau | ligne-titre | niveau3" xfId="3239" xr:uid="{00000000-0005-0000-0000-0000B20C0000}"/>
    <cellStyle name="tableau | ligne-titre | niveau3 2" xfId="3240" xr:uid="{00000000-0005-0000-0000-0000B30C0000}"/>
    <cellStyle name="tableau | ligne-titre | niveau3 2 2" xfId="3241" xr:uid="{00000000-0005-0000-0000-0000B40C0000}"/>
    <cellStyle name="tableau | ligne-titre | niveau3 2 3" xfId="3242" xr:uid="{00000000-0005-0000-0000-0000B50C0000}"/>
    <cellStyle name="tableau | ligne-titre | niveau3 3" xfId="3243" xr:uid="{00000000-0005-0000-0000-0000B60C0000}"/>
    <cellStyle name="tableau | ligne-titre | niveau3 3 2" xfId="3244" xr:uid="{00000000-0005-0000-0000-0000B70C0000}"/>
    <cellStyle name="tableau | ligne-titre | niveau3 3 3" xfId="3245" xr:uid="{00000000-0005-0000-0000-0000B80C0000}"/>
    <cellStyle name="tableau | ligne-titre | niveau3 4" xfId="3246" xr:uid="{00000000-0005-0000-0000-0000B90C0000}"/>
    <cellStyle name="tableau | ligne-titre | niveau3 5" xfId="3247" xr:uid="{00000000-0005-0000-0000-0000BA0C0000}"/>
    <cellStyle name="tableau | ligne-titre | niveau4" xfId="3248" xr:uid="{00000000-0005-0000-0000-0000BB0C0000}"/>
    <cellStyle name="tableau | ligne-titre | niveau4 2" xfId="3249" xr:uid="{00000000-0005-0000-0000-0000BC0C0000}"/>
    <cellStyle name="tableau | ligne-titre | niveau4 2 2" xfId="3250" xr:uid="{00000000-0005-0000-0000-0000BD0C0000}"/>
    <cellStyle name="tableau | ligne-titre | niveau4 2 3" xfId="3251" xr:uid="{00000000-0005-0000-0000-0000BE0C0000}"/>
    <cellStyle name="tableau | ligne-titre | niveau4 3" xfId="3252" xr:uid="{00000000-0005-0000-0000-0000BF0C0000}"/>
    <cellStyle name="tableau | ligne-titre | niveau4 3 2" xfId="3253" xr:uid="{00000000-0005-0000-0000-0000C00C0000}"/>
    <cellStyle name="tableau | ligne-titre | niveau4 3 3" xfId="3254" xr:uid="{00000000-0005-0000-0000-0000C10C0000}"/>
    <cellStyle name="tableau | ligne-titre | niveau4 4" xfId="3255" xr:uid="{00000000-0005-0000-0000-0000C20C0000}"/>
    <cellStyle name="tableau | ligne-titre | niveau4 4 2" xfId="3256" xr:uid="{00000000-0005-0000-0000-0000C30C0000}"/>
    <cellStyle name="tableau | ligne-titre | niveau4 4 3" xfId="3257" xr:uid="{00000000-0005-0000-0000-0000C40C0000}"/>
    <cellStyle name="tableau | ligne-titre | niveau4 5" xfId="3258" xr:uid="{00000000-0005-0000-0000-0000C50C0000}"/>
    <cellStyle name="tableau | ligne-titre | niveau4 5 2" xfId="3259" xr:uid="{00000000-0005-0000-0000-0000C60C0000}"/>
    <cellStyle name="tableau | ligne-titre | niveau4 5 3" xfId="3260" xr:uid="{00000000-0005-0000-0000-0000C70C0000}"/>
    <cellStyle name="tableau | ligne-titre | niveau4 6" xfId="3261" xr:uid="{00000000-0005-0000-0000-0000C80C0000}"/>
    <cellStyle name="tableau | ligne-titre | niveau4 7" xfId="3262" xr:uid="{00000000-0005-0000-0000-0000C90C0000}"/>
    <cellStyle name="tableau | ligne-titre | niveau5" xfId="3263" xr:uid="{00000000-0005-0000-0000-0000CA0C0000}"/>
    <cellStyle name="tableau | ligne-titre | niveau5 2" xfId="3264" xr:uid="{00000000-0005-0000-0000-0000CB0C0000}"/>
    <cellStyle name="tableau | ligne-titre | niveau5 2 2" xfId="3265" xr:uid="{00000000-0005-0000-0000-0000CC0C0000}"/>
    <cellStyle name="tableau | ligne-titre | niveau5 2 3" xfId="3266" xr:uid="{00000000-0005-0000-0000-0000CD0C0000}"/>
    <cellStyle name="tableau | ligne-titre | niveau5 3" xfId="3267" xr:uid="{00000000-0005-0000-0000-0000CE0C0000}"/>
    <cellStyle name="tableau | ligne-titre | niveau5 3 2" xfId="3268" xr:uid="{00000000-0005-0000-0000-0000CF0C0000}"/>
    <cellStyle name="tableau | ligne-titre | niveau5 3 3" xfId="3269" xr:uid="{00000000-0005-0000-0000-0000D00C0000}"/>
    <cellStyle name="tableau | ligne-titre | niveau5 4" xfId="3270" xr:uid="{00000000-0005-0000-0000-0000D10C0000}"/>
    <cellStyle name="tableau | ligne-titre | niveau5 5" xfId="3271" xr:uid="{00000000-0005-0000-0000-0000D20C0000}"/>
    <cellStyle name="tableau | source | plage de cellules" xfId="3272" xr:uid="{00000000-0005-0000-0000-0000D30C0000}"/>
    <cellStyle name="tableau | source | plage de cellules 2" xfId="3273" xr:uid="{00000000-0005-0000-0000-0000D40C0000}"/>
    <cellStyle name="tableau | source | plage de cellules 2 2" xfId="3274" xr:uid="{00000000-0005-0000-0000-0000D50C0000}"/>
    <cellStyle name="tableau | source | plage de cellules 2 3" xfId="3275" xr:uid="{00000000-0005-0000-0000-0000D60C0000}"/>
    <cellStyle name="tableau | source | plage de cellules 3" xfId="3276" xr:uid="{00000000-0005-0000-0000-0000D70C0000}"/>
    <cellStyle name="tableau | source | plage de cellules 3 2" xfId="3277" xr:uid="{00000000-0005-0000-0000-0000D80C0000}"/>
    <cellStyle name="tableau | source | plage de cellules 3 3" xfId="3278" xr:uid="{00000000-0005-0000-0000-0000D90C0000}"/>
    <cellStyle name="tableau | source | plage de cellules 4" xfId="3279" xr:uid="{00000000-0005-0000-0000-0000DA0C0000}"/>
    <cellStyle name="tableau | source | plage de cellules 4 2" xfId="3280" xr:uid="{00000000-0005-0000-0000-0000DB0C0000}"/>
    <cellStyle name="tableau | source | plage de cellules 4 3" xfId="3281" xr:uid="{00000000-0005-0000-0000-0000DC0C0000}"/>
    <cellStyle name="tableau | source | plage de cellules 5" xfId="3282" xr:uid="{00000000-0005-0000-0000-0000DD0C0000}"/>
    <cellStyle name="tableau | source | plage de cellules 5 2" xfId="3283" xr:uid="{00000000-0005-0000-0000-0000DE0C0000}"/>
    <cellStyle name="tableau | source | plage de cellules 5 3" xfId="3284" xr:uid="{00000000-0005-0000-0000-0000DF0C0000}"/>
    <cellStyle name="tableau | source | plage de cellules 6" xfId="3285" xr:uid="{00000000-0005-0000-0000-0000E00C0000}"/>
    <cellStyle name="tableau | source | plage de cellules 7" xfId="3286" xr:uid="{00000000-0005-0000-0000-0000E10C0000}"/>
    <cellStyle name="tableau | source | texte" xfId="3287" xr:uid="{00000000-0005-0000-0000-0000E20C0000}"/>
    <cellStyle name="tableau | source | texte 2" xfId="3288" xr:uid="{00000000-0005-0000-0000-0000E30C0000}"/>
    <cellStyle name="tableau | source | texte 2 2" xfId="3289" xr:uid="{00000000-0005-0000-0000-0000E40C0000}"/>
    <cellStyle name="tableau | source | texte 2 3" xfId="3290" xr:uid="{00000000-0005-0000-0000-0000E50C0000}"/>
    <cellStyle name="tableau | source | texte 3" xfId="3291" xr:uid="{00000000-0005-0000-0000-0000E60C0000}"/>
    <cellStyle name="tableau | source | texte 3 2" xfId="3292" xr:uid="{00000000-0005-0000-0000-0000E70C0000}"/>
    <cellStyle name="tableau | source | texte 3 3" xfId="3293" xr:uid="{00000000-0005-0000-0000-0000E80C0000}"/>
    <cellStyle name="tableau | source | texte 4" xfId="3294" xr:uid="{00000000-0005-0000-0000-0000E90C0000}"/>
    <cellStyle name="tableau | source | texte 4 2" xfId="3295" xr:uid="{00000000-0005-0000-0000-0000EA0C0000}"/>
    <cellStyle name="tableau | source | texte 4 3" xfId="3296" xr:uid="{00000000-0005-0000-0000-0000EB0C0000}"/>
    <cellStyle name="tableau | source | texte 5" xfId="3297" xr:uid="{00000000-0005-0000-0000-0000EC0C0000}"/>
    <cellStyle name="tableau | source | texte 5 2" xfId="3298" xr:uid="{00000000-0005-0000-0000-0000ED0C0000}"/>
    <cellStyle name="tableau | source | texte 5 3" xfId="3299" xr:uid="{00000000-0005-0000-0000-0000EE0C0000}"/>
    <cellStyle name="tableau | source | texte 6" xfId="3300" xr:uid="{00000000-0005-0000-0000-0000EF0C0000}"/>
    <cellStyle name="tableau | source | texte 7" xfId="3301" xr:uid="{00000000-0005-0000-0000-0000F00C0000}"/>
    <cellStyle name="tableau | unite | plage de cellules" xfId="3302" xr:uid="{00000000-0005-0000-0000-0000F10C0000}"/>
    <cellStyle name="tableau | unite | plage de cellules 2" xfId="3303" xr:uid="{00000000-0005-0000-0000-0000F20C0000}"/>
    <cellStyle name="tableau | unite | plage de cellules 2 2" xfId="3304" xr:uid="{00000000-0005-0000-0000-0000F30C0000}"/>
    <cellStyle name="tableau | unite | plage de cellules 2 3" xfId="3305" xr:uid="{00000000-0005-0000-0000-0000F40C0000}"/>
    <cellStyle name="tableau | unite | plage de cellules 3" xfId="3306" xr:uid="{00000000-0005-0000-0000-0000F50C0000}"/>
    <cellStyle name="tableau | unite | plage de cellules 3 2" xfId="3307" xr:uid="{00000000-0005-0000-0000-0000F60C0000}"/>
    <cellStyle name="tableau | unite | plage de cellules 3 3" xfId="3308" xr:uid="{00000000-0005-0000-0000-0000F70C0000}"/>
    <cellStyle name="tableau | unite | plage de cellules 4" xfId="3309" xr:uid="{00000000-0005-0000-0000-0000F80C0000}"/>
    <cellStyle name="tableau | unite | plage de cellules 4 2" xfId="3310" xr:uid="{00000000-0005-0000-0000-0000F90C0000}"/>
    <cellStyle name="tableau | unite | plage de cellules 4 3" xfId="3311" xr:uid="{00000000-0005-0000-0000-0000FA0C0000}"/>
    <cellStyle name="tableau | unite | plage de cellules 5" xfId="3312" xr:uid="{00000000-0005-0000-0000-0000FB0C0000}"/>
    <cellStyle name="tableau | unite | plage de cellules 5 2" xfId="3313" xr:uid="{00000000-0005-0000-0000-0000FC0C0000}"/>
    <cellStyle name="tableau | unite | plage de cellules 5 3" xfId="3314" xr:uid="{00000000-0005-0000-0000-0000FD0C0000}"/>
    <cellStyle name="tableau | unite | plage de cellules 6" xfId="3315" xr:uid="{00000000-0005-0000-0000-0000FE0C0000}"/>
    <cellStyle name="tableau | unite | plage de cellules 7" xfId="3316" xr:uid="{00000000-0005-0000-0000-0000FF0C0000}"/>
    <cellStyle name="tableau | unite | texte" xfId="3317" xr:uid="{00000000-0005-0000-0000-0000000D0000}"/>
    <cellStyle name="tableau | unite | texte 2" xfId="3318" xr:uid="{00000000-0005-0000-0000-0000010D0000}"/>
    <cellStyle name="tableau | unite | texte 2 2" xfId="3319" xr:uid="{00000000-0005-0000-0000-0000020D0000}"/>
    <cellStyle name="tableau | unite | texte 2 3" xfId="3320" xr:uid="{00000000-0005-0000-0000-0000030D0000}"/>
    <cellStyle name="tableau | unite | texte 3" xfId="3321" xr:uid="{00000000-0005-0000-0000-0000040D0000}"/>
    <cellStyle name="tableau | unite | texte 3 2" xfId="3322" xr:uid="{00000000-0005-0000-0000-0000050D0000}"/>
    <cellStyle name="tableau | unite | texte 3 3" xfId="3323" xr:uid="{00000000-0005-0000-0000-0000060D0000}"/>
    <cellStyle name="tableau | unite | texte 4" xfId="3324" xr:uid="{00000000-0005-0000-0000-0000070D0000}"/>
    <cellStyle name="tableau | unite | texte 4 2" xfId="3325" xr:uid="{00000000-0005-0000-0000-0000080D0000}"/>
    <cellStyle name="tableau | unite | texte 4 3" xfId="3326" xr:uid="{00000000-0005-0000-0000-0000090D0000}"/>
    <cellStyle name="tableau | unite | texte 5" xfId="3327" xr:uid="{00000000-0005-0000-0000-00000A0D0000}"/>
    <cellStyle name="tableau | unite | texte 5 2" xfId="3328" xr:uid="{00000000-0005-0000-0000-00000B0D0000}"/>
    <cellStyle name="tableau | unite | texte 5 3" xfId="3329" xr:uid="{00000000-0005-0000-0000-00000C0D0000}"/>
    <cellStyle name="tableau | unite | texte 6" xfId="3330" xr:uid="{00000000-0005-0000-0000-00000D0D0000}"/>
    <cellStyle name="tableau | unite | texte 7" xfId="3331" xr:uid="{00000000-0005-0000-0000-00000E0D0000}"/>
    <cellStyle name="TableStyleLight1" xfId="3332" xr:uid="{00000000-0005-0000-0000-00000F0D0000}"/>
    <cellStyle name="TableStyleLight1 2" xfId="3333" xr:uid="{00000000-0005-0000-0000-0000100D0000}"/>
    <cellStyle name="TableStyleLight1 3" xfId="3334" xr:uid="{00000000-0005-0000-0000-0000110D0000}"/>
    <cellStyle name="Testo avviso" xfId="3335" xr:uid="{00000000-0005-0000-0000-0000120D0000}"/>
    <cellStyle name="Testo avviso 2" xfId="3336" xr:uid="{00000000-0005-0000-0000-0000130D0000}"/>
    <cellStyle name="Testo avviso 3" xfId="3337" xr:uid="{00000000-0005-0000-0000-0000140D0000}"/>
    <cellStyle name="Testo descrittivo" xfId="3338" xr:uid="{00000000-0005-0000-0000-0000150D0000}"/>
    <cellStyle name="Testo descrittivo 2" xfId="3339" xr:uid="{00000000-0005-0000-0000-0000160D0000}"/>
    <cellStyle name="Testo descrittivo 3" xfId="3340" xr:uid="{00000000-0005-0000-0000-0000170D0000}"/>
    <cellStyle name="Texte explicatif" xfId="14" builtinId="53" customBuiltin="1"/>
    <cellStyle name="Texte explicatif 2" xfId="3341" xr:uid="{00000000-0005-0000-0000-0000190D0000}"/>
    <cellStyle name="Texte explicatif 2 2" xfId="3342" xr:uid="{00000000-0005-0000-0000-00001A0D0000}"/>
    <cellStyle name="Texte explicatif 2 3" xfId="3343" xr:uid="{00000000-0005-0000-0000-00001B0D0000}"/>
    <cellStyle name="Texto de advertencia" xfId="3344" xr:uid="{00000000-0005-0000-0000-00001C0D0000}"/>
    <cellStyle name="Texto de advertencia 2" xfId="3345" xr:uid="{00000000-0005-0000-0000-00001D0D0000}"/>
    <cellStyle name="Texto de advertencia 3" xfId="3346" xr:uid="{00000000-0005-0000-0000-00001E0D0000}"/>
    <cellStyle name="Texto explicativo" xfId="3347" xr:uid="{00000000-0005-0000-0000-00001F0D0000}"/>
    <cellStyle name="Texto explicativo 2" xfId="3348" xr:uid="{00000000-0005-0000-0000-0000200D0000}"/>
    <cellStyle name="Texto explicativo 3" xfId="3349" xr:uid="{00000000-0005-0000-0000-0000210D0000}"/>
    <cellStyle name="Title" xfId="3350" xr:uid="{00000000-0005-0000-0000-0000220D0000}"/>
    <cellStyle name="Title 2" xfId="3351" xr:uid="{00000000-0005-0000-0000-0000230D0000}"/>
    <cellStyle name="Title 3" xfId="3352" xr:uid="{00000000-0005-0000-0000-0000240D0000}"/>
    <cellStyle name="Titolo" xfId="3353" xr:uid="{00000000-0005-0000-0000-0000250D0000}"/>
    <cellStyle name="Titolo 1" xfId="3354" xr:uid="{00000000-0005-0000-0000-0000260D0000}"/>
    <cellStyle name="Titolo 1 2" xfId="3355" xr:uid="{00000000-0005-0000-0000-0000270D0000}"/>
    <cellStyle name="Titolo 1 3" xfId="3356" xr:uid="{00000000-0005-0000-0000-0000280D0000}"/>
    <cellStyle name="Titolo 2" xfId="3357" xr:uid="{00000000-0005-0000-0000-0000290D0000}"/>
    <cellStyle name="Titolo 2 2" xfId="3358" xr:uid="{00000000-0005-0000-0000-00002A0D0000}"/>
    <cellStyle name="Titolo 2 3" xfId="3359" xr:uid="{00000000-0005-0000-0000-00002B0D0000}"/>
    <cellStyle name="Titolo 3" xfId="3360" xr:uid="{00000000-0005-0000-0000-00002C0D0000}"/>
    <cellStyle name="Titolo 3 2" xfId="3361" xr:uid="{00000000-0005-0000-0000-00002D0D0000}"/>
    <cellStyle name="Titolo 3 3" xfId="3362" xr:uid="{00000000-0005-0000-0000-00002E0D0000}"/>
    <cellStyle name="Titolo 4" xfId="3363" xr:uid="{00000000-0005-0000-0000-00002F0D0000}"/>
    <cellStyle name="Titolo 4 2" xfId="3364" xr:uid="{00000000-0005-0000-0000-0000300D0000}"/>
    <cellStyle name="Titolo 4 3" xfId="3365" xr:uid="{00000000-0005-0000-0000-0000310D0000}"/>
    <cellStyle name="Titolo 5" xfId="3366" xr:uid="{00000000-0005-0000-0000-0000320D0000}"/>
    <cellStyle name="Titolo 6" xfId="3367" xr:uid="{00000000-0005-0000-0000-0000330D0000}"/>
    <cellStyle name="Titolo_ANNÉE 2015" xfId="3368" xr:uid="{00000000-0005-0000-0000-0000340D0000}"/>
    <cellStyle name="Titre 1" xfId="3369" xr:uid="{00000000-0005-0000-0000-0000350D0000}"/>
    <cellStyle name="Titre 1 2" xfId="3370" xr:uid="{00000000-0005-0000-0000-0000360D0000}"/>
    <cellStyle name="Titre 1 2 2" xfId="3371" xr:uid="{00000000-0005-0000-0000-0000370D0000}"/>
    <cellStyle name="Titre 1 2 2 2" xfId="3372" xr:uid="{00000000-0005-0000-0000-0000380D0000}"/>
    <cellStyle name="Titre 1 2 3" xfId="3373" xr:uid="{00000000-0005-0000-0000-0000390D0000}"/>
    <cellStyle name="Titre 1 2 4" xfId="3374" xr:uid="{00000000-0005-0000-0000-00003A0D0000}"/>
    <cellStyle name="Titre 1 3" xfId="3375" xr:uid="{00000000-0005-0000-0000-00003B0D0000}"/>
    <cellStyle name="Titre 1 3 2" xfId="3376" xr:uid="{00000000-0005-0000-0000-00003C0D0000}"/>
    <cellStyle name="Titre 1 3 3" xfId="3377" xr:uid="{00000000-0005-0000-0000-00003D0D0000}"/>
    <cellStyle name="Titre 1 4" xfId="3378" xr:uid="{00000000-0005-0000-0000-00003E0D0000}"/>
    <cellStyle name="Titre 1 5" xfId="3379" xr:uid="{00000000-0005-0000-0000-00003F0D0000}"/>
    <cellStyle name="Titre 2" xfId="65" xr:uid="{00000000-0005-0000-0000-0000400D0000}"/>
    <cellStyle name="Titre 2 2" xfId="3381" xr:uid="{00000000-0005-0000-0000-0000410D0000}"/>
    <cellStyle name="Titre 2 2 2" xfId="3382" xr:uid="{00000000-0005-0000-0000-0000420D0000}"/>
    <cellStyle name="Titre 2 2 2 2" xfId="3383" xr:uid="{00000000-0005-0000-0000-0000430D0000}"/>
    <cellStyle name="Titre 2 2 3" xfId="3384" xr:uid="{00000000-0005-0000-0000-0000440D0000}"/>
    <cellStyle name="Titre 2 2 4" xfId="3385" xr:uid="{00000000-0005-0000-0000-0000450D0000}"/>
    <cellStyle name="Titre 2 3" xfId="3386" xr:uid="{00000000-0005-0000-0000-0000460D0000}"/>
    <cellStyle name="Titre 2 3 2" xfId="3387" xr:uid="{00000000-0005-0000-0000-0000470D0000}"/>
    <cellStyle name="Titre 2 3 3" xfId="3388" xr:uid="{00000000-0005-0000-0000-0000480D0000}"/>
    <cellStyle name="Titre 2 4" xfId="3389" xr:uid="{00000000-0005-0000-0000-0000490D0000}"/>
    <cellStyle name="Titre 2 5" xfId="3390" xr:uid="{00000000-0005-0000-0000-00004A0D0000}"/>
    <cellStyle name="Titre 2 6" xfId="3380" xr:uid="{00000000-0005-0000-0000-00004B0D0000}"/>
    <cellStyle name="Titre 3" xfId="3391" xr:uid="{00000000-0005-0000-0000-00004C0D0000}"/>
    <cellStyle name="Titre 3 2" xfId="3392" xr:uid="{00000000-0005-0000-0000-00004D0D0000}"/>
    <cellStyle name="Titre 3 2 2" xfId="3393" xr:uid="{00000000-0005-0000-0000-00004E0D0000}"/>
    <cellStyle name="Titre 3 2 2 2" xfId="3394" xr:uid="{00000000-0005-0000-0000-00004F0D0000}"/>
    <cellStyle name="Titre 3 2 3" xfId="3395" xr:uid="{00000000-0005-0000-0000-0000500D0000}"/>
    <cellStyle name="Titre 3 2 4" xfId="3396" xr:uid="{00000000-0005-0000-0000-0000510D0000}"/>
    <cellStyle name="Titre 3 3" xfId="3397" xr:uid="{00000000-0005-0000-0000-0000520D0000}"/>
    <cellStyle name="Titre 3 4" xfId="3398" xr:uid="{00000000-0005-0000-0000-0000530D0000}"/>
    <cellStyle name="Titre 4" xfId="3399" xr:uid="{00000000-0005-0000-0000-0000540D0000}"/>
    <cellStyle name="Titre 4 2" xfId="3400" xr:uid="{00000000-0005-0000-0000-0000550D0000}"/>
    <cellStyle name="Titre 4 2 2" xfId="3401" xr:uid="{00000000-0005-0000-0000-0000560D0000}"/>
    <cellStyle name="Titre 4 2 2 2" xfId="3402" xr:uid="{00000000-0005-0000-0000-0000570D0000}"/>
    <cellStyle name="Titre 4 2 3" xfId="3403" xr:uid="{00000000-0005-0000-0000-0000580D0000}"/>
    <cellStyle name="Titre 4 2 4" xfId="3404" xr:uid="{00000000-0005-0000-0000-0000590D0000}"/>
    <cellStyle name="Titre 4 3" xfId="3405" xr:uid="{00000000-0005-0000-0000-00005A0D0000}"/>
    <cellStyle name="Titre 4 4" xfId="3406" xr:uid="{00000000-0005-0000-0000-00005B0D0000}"/>
    <cellStyle name="Titre 5" xfId="3407" xr:uid="{00000000-0005-0000-0000-00005C0D0000}"/>
    <cellStyle name="Titre 5 2" xfId="3408" xr:uid="{00000000-0005-0000-0000-00005D0D0000}"/>
    <cellStyle name="Titre 5 2 2" xfId="3409" xr:uid="{00000000-0005-0000-0000-00005E0D0000}"/>
    <cellStyle name="Titre 5 2 3" xfId="3410" xr:uid="{00000000-0005-0000-0000-00005F0D0000}"/>
    <cellStyle name="Titre 5 3" xfId="3411" xr:uid="{00000000-0005-0000-0000-0000600D0000}"/>
    <cellStyle name="Titre 5 4" xfId="3412" xr:uid="{00000000-0005-0000-0000-0000610D0000}"/>
    <cellStyle name="Titre colonnes" xfId="3413" xr:uid="{00000000-0005-0000-0000-0000620D0000}"/>
    <cellStyle name="Titre colonnes 2" xfId="3414" xr:uid="{00000000-0005-0000-0000-0000630D0000}"/>
    <cellStyle name="Titre colonnes 2 2" xfId="3415" xr:uid="{00000000-0005-0000-0000-0000640D0000}"/>
    <cellStyle name="Titre colonnes 2 3" xfId="3416" xr:uid="{00000000-0005-0000-0000-0000650D0000}"/>
    <cellStyle name="Titre colonnes 3" xfId="3417" xr:uid="{00000000-0005-0000-0000-0000660D0000}"/>
    <cellStyle name="Titre colonnes 3 2" xfId="3418" xr:uid="{00000000-0005-0000-0000-0000670D0000}"/>
    <cellStyle name="Titre colonnes 3 3" xfId="3419" xr:uid="{00000000-0005-0000-0000-0000680D0000}"/>
    <cellStyle name="Titre colonnes 4" xfId="3420" xr:uid="{00000000-0005-0000-0000-0000690D0000}"/>
    <cellStyle name="Titre colonnes 4 2" xfId="3421" xr:uid="{00000000-0005-0000-0000-00006A0D0000}"/>
    <cellStyle name="Titre colonnes 4 3" xfId="3422" xr:uid="{00000000-0005-0000-0000-00006B0D0000}"/>
    <cellStyle name="Titre colonnes 5" xfId="3423" xr:uid="{00000000-0005-0000-0000-00006C0D0000}"/>
    <cellStyle name="Titre colonnes 6" xfId="3424" xr:uid="{00000000-0005-0000-0000-00006D0D0000}"/>
    <cellStyle name="Titre général" xfId="3425" xr:uid="{00000000-0005-0000-0000-00006E0D0000}"/>
    <cellStyle name="Titre général 2" xfId="3426" xr:uid="{00000000-0005-0000-0000-00006F0D0000}"/>
    <cellStyle name="Titre général 2 2" xfId="3427" xr:uid="{00000000-0005-0000-0000-0000700D0000}"/>
    <cellStyle name="Titre général 2 3" xfId="3428" xr:uid="{00000000-0005-0000-0000-0000710D0000}"/>
    <cellStyle name="Titre général 3" xfId="3429" xr:uid="{00000000-0005-0000-0000-0000720D0000}"/>
    <cellStyle name="Titre général 3 2" xfId="3430" xr:uid="{00000000-0005-0000-0000-0000730D0000}"/>
    <cellStyle name="Titre général 3 3" xfId="3431" xr:uid="{00000000-0005-0000-0000-0000740D0000}"/>
    <cellStyle name="Titre général 4" xfId="3432" xr:uid="{00000000-0005-0000-0000-0000750D0000}"/>
    <cellStyle name="Titre général 5" xfId="3433" xr:uid="{00000000-0005-0000-0000-0000760D0000}"/>
    <cellStyle name="Titre lignes" xfId="3434" xr:uid="{00000000-0005-0000-0000-0000770D0000}"/>
    <cellStyle name="Titre lignes 1" xfId="3435" xr:uid="{00000000-0005-0000-0000-0000780D0000}"/>
    <cellStyle name="Titre lignes 1 2" xfId="3436" xr:uid="{00000000-0005-0000-0000-0000790D0000}"/>
    <cellStyle name="Titre lignes 1 3" xfId="3437" xr:uid="{00000000-0005-0000-0000-00007A0D0000}"/>
    <cellStyle name="Titre lignes 2" xfId="3438" xr:uid="{00000000-0005-0000-0000-00007B0D0000}"/>
    <cellStyle name="Titre lignes 2 2" xfId="3439" xr:uid="{00000000-0005-0000-0000-00007C0D0000}"/>
    <cellStyle name="Titre lignes 2 3" xfId="3440" xr:uid="{00000000-0005-0000-0000-00007D0D0000}"/>
    <cellStyle name="Titre lignes 3" xfId="3441" xr:uid="{00000000-0005-0000-0000-00007E0D0000}"/>
    <cellStyle name="Titre lignes 3 2" xfId="3442" xr:uid="{00000000-0005-0000-0000-00007F0D0000}"/>
    <cellStyle name="Titre lignes 3 3" xfId="3443" xr:uid="{00000000-0005-0000-0000-0000800D0000}"/>
    <cellStyle name="Titre lignes 4" xfId="3444" xr:uid="{00000000-0005-0000-0000-0000810D0000}"/>
    <cellStyle name="Titre lignes 4 2" xfId="3445" xr:uid="{00000000-0005-0000-0000-0000820D0000}"/>
    <cellStyle name="Titre lignes 4 3" xfId="3446" xr:uid="{00000000-0005-0000-0000-0000830D0000}"/>
    <cellStyle name="Titre lignes 5" xfId="3447" xr:uid="{00000000-0005-0000-0000-0000840D0000}"/>
    <cellStyle name="Titre lignes 6" xfId="3448" xr:uid="{00000000-0005-0000-0000-0000850D0000}"/>
    <cellStyle name="Titre lignes_Fiches C 2010 version juin rebasé3" xfId="3449" xr:uid="{00000000-0005-0000-0000-0000860D0000}"/>
    <cellStyle name="Titre page" xfId="3450" xr:uid="{00000000-0005-0000-0000-0000870D0000}"/>
    <cellStyle name="Titre page 2" xfId="3451" xr:uid="{00000000-0005-0000-0000-0000880D0000}"/>
    <cellStyle name="Titre page 2 2" xfId="3452" xr:uid="{00000000-0005-0000-0000-0000890D0000}"/>
    <cellStyle name="Titre page 2 3" xfId="3453" xr:uid="{00000000-0005-0000-0000-00008A0D0000}"/>
    <cellStyle name="Titre page 3" xfId="3454" xr:uid="{00000000-0005-0000-0000-00008B0D0000}"/>
    <cellStyle name="Titre page 3 2" xfId="3455" xr:uid="{00000000-0005-0000-0000-00008C0D0000}"/>
    <cellStyle name="Titre page 3 3" xfId="3456" xr:uid="{00000000-0005-0000-0000-00008D0D0000}"/>
    <cellStyle name="Titre page 4" xfId="3457" xr:uid="{00000000-0005-0000-0000-00008E0D0000}"/>
    <cellStyle name="Titre page 5" xfId="3458" xr:uid="{00000000-0005-0000-0000-00008F0D0000}"/>
    <cellStyle name="Titre " xfId="3459" xr:uid="{00000000-0005-0000-0000-0000900D0000}"/>
    <cellStyle name="Titre  2" xfId="3460" xr:uid="{00000000-0005-0000-0000-0000910D0000}"/>
    <cellStyle name="Titre  2 2" xfId="3461" xr:uid="{00000000-0005-0000-0000-0000920D0000}"/>
    <cellStyle name="Titre  2 3" xfId="3462" xr:uid="{00000000-0005-0000-0000-0000930D0000}"/>
    <cellStyle name="Titre  3" xfId="3463" xr:uid="{00000000-0005-0000-0000-0000940D0000}"/>
    <cellStyle name="Titre  4" xfId="3464" xr:uid="{00000000-0005-0000-0000-0000950D0000}"/>
    <cellStyle name="Titre 1" xfId="1" builtinId="16" customBuiltin="1"/>
    <cellStyle name="Titre 1 2" xfId="3465" xr:uid="{00000000-0005-0000-0000-0000970D0000}"/>
    <cellStyle name="Titre 1 2 2" xfId="3466" xr:uid="{00000000-0005-0000-0000-0000980D0000}"/>
    <cellStyle name="Titre 1 2 3" xfId="3467" xr:uid="{00000000-0005-0000-0000-0000990D0000}"/>
    <cellStyle name="Titre 2" xfId="2" builtinId="17" customBuiltin="1"/>
    <cellStyle name="Titre 2 2" xfId="3468" xr:uid="{00000000-0005-0000-0000-00009B0D0000}"/>
    <cellStyle name="Titre 2 2 2" xfId="3469" xr:uid="{00000000-0005-0000-0000-00009C0D0000}"/>
    <cellStyle name="Titre 2 2 3" xfId="3470" xr:uid="{00000000-0005-0000-0000-00009D0D0000}"/>
    <cellStyle name="Titre 3" xfId="3" builtinId="18" customBuiltin="1"/>
    <cellStyle name="Titre 3 2" xfId="3471" xr:uid="{00000000-0005-0000-0000-00009F0D0000}"/>
    <cellStyle name="Titre 3 2 2" xfId="3472" xr:uid="{00000000-0005-0000-0000-0000A00D0000}"/>
    <cellStyle name="Titre 3 2 3" xfId="3473" xr:uid="{00000000-0005-0000-0000-0000A10D0000}"/>
    <cellStyle name="Titre 4" xfId="4" builtinId="19" customBuiltin="1"/>
    <cellStyle name="Titre 4 2" xfId="3474" xr:uid="{00000000-0005-0000-0000-0000A30D0000}"/>
    <cellStyle name="Titre 4 2 2" xfId="3475" xr:uid="{00000000-0005-0000-0000-0000A40D0000}"/>
    <cellStyle name="Titre 4 2 3" xfId="3476" xr:uid="{00000000-0005-0000-0000-0000A50D0000}"/>
    <cellStyle name="Titre1" xfId="3534" xr:uid="{00000000-0005-0000-0000-0000A60D0000}"/>
    <cellStyle name="Título" xfId="3477" xr:uid="{00000000-0005-0000-0000-0000A70D0000}"/>
    <cellStyle name="Título 1" xfId="3478" xr:uid="{00000000-0005-0000-0000-0000A80D0000}"/>
    <cellStyle name="Título 1 2" xfId="3479" xr:uid="{00000000-0005-0000-0000-0000A90D0000}"/>
    <cellStyle name="Título 1 3" xfId="3480" xr:uid="{00000000-0005-0000-0000-0000AA0D0000}"/>
    <cellStyle name="Título 2" xfId="3481" xr:uid="{00000000-0005-0000-0000-0000AB0D0000}"/>
    <cellStyle name="Título 2 2" xfId="3482" xr:uid="{00000000-0005-0000-0000-0000AC0D0000}"/>
    <cellStyle name="Título 2 3" xfId="3483" xr:uid="{00000000-0005-0000-0000-0000AD0D0000}"/>
    <cellStyle name="Título 3" xfId="3484" xr:uid="{00000000-0005-0000-0000-0000AE0D0000}"/>
    <cellStyle name="Título 3 2" xfId="3485" xr:uid="{00000000-0005-0000-0000-0000AF0D0000}"/>
    <cellStyle name="Título 3 3" xfId="3486" xr:uid="{00000000-0005-0000-0000-0000B00D0000}"/>
    <cellStyle name="Título 4" xfId="3487" xr:uid="{00000000-0005-0000-0000-0000B10D0000}"/>
    <cellStyle name="Título 5" xfId="3488" xr:uid="{00000000-0005-0000-0000-0000B20D0000}"/>
    <cellStyle name="Total" xfId="15" builtinId="25" customBuiltin="1"/>
    <cellStyle name="Total 1" xfId="3489" xr:uid="{00000000-0005-0000-0000-0000B40D0000}"/>
    <cellStyle name="Total 1 2" xfId="3490" xr:uid="{00000000-0005-0000-0000-0000B50D0000}"/>
    <cellStyle name="Total 1 3" xfId="3491" xr:uid="{00000000-0005-0000-0000-0000B60D0000}"/>
    <cellStyle name="Total 2" xfId="3492" xr:uid="{00000000-0005-0000-0000-0000B70D0000}"/>
    <cellStyle name="Total 2 2" xfId="3493" xr:uid="{00000000-0005-0000-0000-0000B80D0000}"/>
    <cellStyle name="Total 2 3" xfId="3494" xr:uid="{00000000-0005-0000-0000-0000B90D0000}"/>
    <cellStyle name="Totale" xfId="3495" xr:uid="{00000000-0005-0000-0000-0000BA0D0000}"/>
    <cellStyle name="Totale 2" xfId="3496" xr:uid="{00000000-0005-0000-0000-0000BB0D0000}"/>
    <cellStyle name="Totale 3" xfId="3497" xr:uid="{00000000-0005-0000-0000-0000BC0D0000}"/>
    <cellStyle name="Valore non valido" xfId="3498" xr:uid="{00000000-0005-0000-0000-0000BD0D0000}"/>
    <cellStyle name="Valore non valido 2" xfId="3499" xr:uid="{00000000-0005-0000-0000-0000BE0D0000}"/>
    <cellStyle name="Valore non valido 3" xfId="3500" xr:uid="{00000000-0005-0000-0000-0000BF0D0000}"/>
    <cellStyle name="Valore valido" xfId="3501" xr:uid="{00000000-0005-0000-0000-0000C00D0000}"/>
    <cellStyle name="Valore valido 2" xfId="3502" xr:uid="{00000000-0005-0000-0000-0000C10D0000}"/>
    <cellStyle name="Valore valido 3" xfId="3503" xr:uid="{00000000-0005-0000-0000-0000C20D0000}"/>
    <cellStyle name="Vérification" xfId="12" builtinId="23" customBuiltin="1"/>
    <cellStyle name="Vérification 2" xfId="3504" xr:uid="{00000000-0005-0000-0000-0000C40D0000}"/>
    <cellStyle name="Vérification 2 2" xfId="3505" xr:uid="{00000000-0005-0000-0000-0000C50D0000}"/>
    <cellStyle name="Vérification 2 3" xfId="3506" xr:uid="{00000000-0005-0000-0000-0000C60D0000}"/>
    <cellStyle name="Vérification de cellule" xfId="3507" xr:uid="{00000000-0005-0000-0000-0000C70D0000}"/>
    <cellStyle name="Vérification de cellule 2" xfId="3508" xr:uid="{00000000-0005-0000-0000-0000C80D0000}"/>
    <cellStyle name="Vérification de cellule 2 2" xfId="3509" xr:uid="{00000000-0005-0000-0000-0000C90D0000}"/>
    <cellStyle name="Vérification de cellule 2 3" xfId="3510" xr:uid="{00000000-0005-0000-0000-0000CA0D0000}"/>
    <cellStyle name="Vérification de cellule 3" xfId="3511" xr:uid="{00000000-0005-0000-0000-0000CB0D0000}"/>
    <cellStyle name="Vérification de cellule 4" xfId="3512" xr:uid="{00000000-0005-0000-0000-0000CC0D0000}"/>
    <cellStyle name="Virgule fixe" xfId="3513" xr:uid="{00000000-0005-0000-0000-0000CD0D0000}"/>
    <cellStyle name="Virgule fixe 2" xfId="3514" xr:uid="{00000000-0005-0000-0000-0000CE0D0000}"/>
    <cellStyle name="Virgule fixe 2 2" xfId="3515" xr:uid="{00000000-0005-0000-0000-0000CF0D0000}"/>
    <cellStyle name="Virgule fixe 2 3" xfId="3516" xr:uid="{00000000-0005-0000-0000-0000D00D0000}"/>
    <cellStyle name="Virgule fixe 3" xfId="3517" xr:uid="{00000000-0005-0000-0000-0000D10D0000}"/>
    <cellStyle name="Virgule fixe 4" xfId="3518" xr:uid="{00000000-0005-0000-0000-0000D20D0000}"/>
    <cellStyle name="Währung [0]_VPVUL94-00 2ème version" xfId="3519" xr:uid="{00000000-0005-0000-0000-0000D30D0000}"/>
    <cellStyle name="Währung_VPVUL94-00 2ème version" xfId="3520" xr:uid="{00000000-0005-0000-0000-0000D40D0000}"/>
    <cellStyle name="Warning Text" xfId="3521" xr:uid="{00000000-0005-0000-0000-0000D50D0000}"/>
    <cellStyle name="Warning Text 2" xfId="3522" xr:uid="{00000000-0005-0000-0000-0000D60D0000}"/>
    <cellStyle name="Warning Text 3" xfId="3523" xr:uid="{00000000-0005-0000-0000-0000D70D0000}"/>
    <cellStyle name="Обычный_CRF2002 (1)" xfId="3524" xr:uid="{00000000-0005-0000-0000-0000D80D0000}"/>
  </cellStyles>
  <dxfs count="389">
    <dxf>
      <fill>
        <patternFill>
          <bgColor theme="5"/>
        </patternFill>
      </fill>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numFmt numFmtId="210" formatCode="#,##0_ ;\-#,##0\ "/>
    </dxf>
    <dxf>
      <font>
        <b val="0"/>
        <i val="0"/>
        <strike val="0"/>
        <condense val="0"/>
        <extend val="0"/>
        <outline val="0"/>
        <shadow val="0"/>
        <u val="none"/>
        <vertAlign val="baseline"/>
        <sz val="11"/>
        <color auto="1"/>
        <name val="Calibri"/>
        <scheme val="minor"/>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bottom style="thin">
          <color theme="1"/>
        </bottom>
        <vertical/>
        <horizontal/>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theme="1"/>
        </left>
        <right style="thin">
          <color theme="1"/>
        </right>
        <top/>
        <bottom style="thin">
          <color theme="1"/>
        </bottom>
        <vertical/>
        <horizontal/>
      </border>
    </dxf>
    <dxf>
      <fill>
        <patternFill patternType="solid">
          <fgColor indexed="64"/>
          <bgColor theme="6" tint="0.79998168889431442"/>
        </patternFill>
      </fill>
      <border diagonalUp="0" diagonalDown="0" outline="0">
        <left/>
        <right style="thin">
          <color theme="1"/>
        </right>
        <top style="thin">
          <color theme="1"/>
        </top>
        <bottom style="thin">
          <color theme="1"/>
        </bottom>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bottom style="thin">
          <color theme="1"/>
        </bottom>
        <vertical/>
        <horizontal/>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theme="1"/>
        </left>
        <right style="thin">
          <color theme="1"/>
        </right>
        <top/>
        <bottom style="thin">
          <color theme="1"/>
        </bottom>
        <vertical/>
        <horizontal/>
      </border>
    </dxf>
    <dxf>
      <fill>
        <patternFill patternType="solid">
          <fgColor indexed="64"/>
          <bgColor theme="6" tint="0.79998168889431442"/>
        </patternFill>
      </fill>
      <border diagonalUp="0" diagonalDown="0" outline="0">
        <left/>
        <right style="thin">
          <color theme="1"/>
        </right>
        <top style="thin">
          <color theme="1"/>
        </top>
        <bottom style="thin">
          <color theme="1"/>
        </bottom>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bottom style="thin">
          <color theme="1"/>
        </bottom>
        <vertical/>
        <horizontal/>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theme="1"/>
        </left>
        <right style="thin">
          <color theme="1"/>
        </right>
        <top/>
        <bottom style="thin">
          <color theme="1"/>
        </bottom>
        <vertical/>
        <horizontal/>
      </border>
    </dxf>
    <dxf>
      <fill>
        <patternFill patternType="solid">
          <fgColor indexed="64"/>
          <bgColor theme="6" tint="0.79998168889431442"/>
        </patternFill>
      </fill>
      <border diagonalUp="0" diagonalDown="0" outline="0">
        <left/>
        <right style="thin">
          <color theme="1"/>
        </right>
        <top style="thin">
          <color theme="1"/>
        </top>
        <bottom style="thin">
          <color theme="1"/>
        </bottom>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bottom style="thin">
          <color theme="1"/>
        </bottom>
        <vertical/>
        <horizontal/>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theme="1"/>
        </left>
        <right style="thin">
          <color theme="1"/>
        </right>
        <top/>
        <bottom style="thin">
          <color theme="1"/>
        </bottom>
        <vertical/>
        <horizontal/>
      </border>
    </dxf>
    <dxf>
      <fill>
        <patternFill patternType="solid">
          <fgColor indexed="64"/>
          <bgColor theme="6" tint="0.79998168889431442"/>
        </patternFill>
      </fill>
      <border diagonalUp="0" diagonalDown="0" outline="0">
        <left/>
        <right style="thin">
          <color theme="1"/>
        </right>
        <top style="thin">
          <color theme="1"/>
        </top>
        <bottom style="thin">
          <color theme="1"/>
        </bottom>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bottom style="thin">
          <color theme="1"/>
        </bottom>
        <vertical/>
        <horizontal/>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theme="1"/>
        </left>
        <right style="thin">
          <color theme="1"/>
        </right>
        <top/>
        <bottom style="thin">
          <color theme="1"/>
        </bottom>
      </border>
    </dxf>
    <dxf>
      <fill>
        <patternFill patternType="solid">
          <fgColor indexed="64"/>
          <bgColor theme="6" tint="0.79998168889431442"/>
        </patternFill>
      </fill>
      <border diagonalUp="0" diagonalDown="0" outline="0">
        <left/>
        <right style="thin">
          <color theme="1"/>
        </right>
        <top style="thin">
          <color theme="1"/>
        </top>
        <bottom style="thin">
          <color theme="1"/>
        </bottom>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2" formatCode="0.0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top style="thin">
          <color theme="1"/>
        </top>
        <bottom style="thin">
          <color theme="1"/>
        </bottom>
      </border>
    </dxf>
    <dxf>
      <numFmt numFmtId="2" formatCode="0.0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2" formatCode="0.0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2" formatCode="0.0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2" formatCode="0.0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2" formatCode="0.0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numFmt numFmtId="2"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3"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3"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3"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sz val="8"/>
      </font>
      <fill>
        <patternFill patternType="solid">
          <fgColor indexed="64"/>
          <bgColor theme="6" tint="0.79998168889431442"/>
        </patternFill>
      </fill>
      <alignment horizontal="left" vertical="bottom" textRotation="0" wrapText="1" indent="0" justifyLastLine="0" shrinkToFit="0" readingOrder="0"/>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font>
        <b/>
        <i val="0"/>
      </font>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ill>
        <patternFill patternType="solid">
          <fgColor indexed="64"/>
          <bgColor theme="6" tint="0.79998168889431442"/>
        </patternFill>
      </fill>
      <border diagonalUp="0" diagonalDown="0" outline="0">
        <left/>
        <right style="thin">
          <color theme="1"/>
        </right>
        <top style="thin">
          <color theme="1"/>
        </top>
        <bottom style="thin">
          <color theme="1"/>
        </bottom>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outline="0">
        <left/>
        <right/>
        <top style="thin">
          <color theme="1"/>
        </top>
        <bottom style="thin">
          <color theme="1"/>
        </bottom>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font>
        <b val="0"/>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1"/>
        </left>
        <right/>
        <top style="thin">
          <color theme="1"/>
        </top>
        <bottom style="thin">
          <color theme="1"/>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border>
    </dxf>
    <dxf>
      <fill>
        <patternFill patternType="solid">
          <fgColor indexed="64"/>
          <bgColor theme="6" tint="0.79998168889431442"/>
        </patternFill>
      </fill>
      <border diagonalUp="0" diagonalDown="0" outline="0">
        <left/>
        <right/>
        <top style="thin">
          <color theme="1"/>
        </top>
        <bottom style="thin">
          <color theme="1"/>
        </bottom>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theme="1"/>
        </top>
      </border>
    </dxf>
    <dxf>
      <border outline="0">
        <left style="medium">
          <color theme="1"/>
        </left>
        <right style="medium">
          <color theme="1"/>
        </right>
        <top style="medium">
          <color theme="1"/>
        </top>
        <bottom style="medium">
          <color theme="1"/>
        </bottom>
      </border>
    </dxf>
    <dxf>
      <fill>
        <patternFill patternType="solid">
          <fgColor indexed="64"/>
          <bgColor theme="5" tint="0.79998168889431442"/>
        </patternFill>
      </fill>
      <alignment horizontal="center" vertical="center" textRotation="0" wrapText="0" indent="0" justifyLastLine="0" shrinkToFit="0" readingOrder="0"/>
    </dxf>
    <dxf>
      <border outline="0">
        <bottom style="thin">
          <color theme="1"/>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theme="1"/>
        </top>
      </border>
    </dxf>
    <dxf>
      <border outline="0">
        <left style="medium">
          <color theme="1"/>
        </left>
        <right style="medium">
          <color theme="1"/>
        </right>
        <top style="medium">
          <color theme="1"/>
        </top>
        <bottom style="medium">
          <color theme="1"/>
        </bottom>
      </border>
    </dxf>
    <dxf>
      <fill>
        <patternFill patternType="solid">
          <fgColor indexed="64"/>
          <bgColor theme="5" tint="0.79998168889431442"/>
        </patternFill>
      </fill>
      <alignment horizontal="center" vertical="center" textRotation="0" wrapText="0" indent="0" justifyLastLine="0" shrinkToFit="0" readingOrder="0"/>
    </dxf>
    <dxf>
      <border outline="0">
        <bottom style="thin">
          <color theme="1"/>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font>
        <b/>
        <i val="0"/>
      </font>
    </dxf>
    <dxf>
      <font>
        <b/>
        <i val="0"/>
      </font>
    </dxf>
    <dxf>
      <font>
        <b/>
        <i val="0"/>
      </font>
    </dxf>
    <dxf>
      <font>
        <b/>
        <i val="0"/>
      </font>
    </dxf>
    <dxf>
      <font>
        <b val="0"/>
      </font>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font>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font>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font>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font>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font>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font>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font>
      <fill>
        <patternFill patternType="solid">
          <fgColor indexed="64"/>
          <bgColor theme="6" tint="0.79998168889431442"/>
        </patternFill>
      </fill>
      <border diagonalUp="0" diagonalDown="0" outline="0">
        <left/>
        <right/>
        <top style="thin">
          <color theme="1"/>
        </top>
        <bottom style="thin">
          <color theme="1"/>
        </bottom>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numFmt numFmtId="165" formatCode="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solid">
          <fgColor indexed="64"/>
          <bgColor theme="6" tint="0.79998168889431442"/>
        </patternFill>
      </fill>
      <border diagonalUp="0" diagonalDown="0">
        <left/>
        <right style="thin">
          <color theme="1"/>
        </right>
        <top style="thin">
          <color theme="1"/>
        </top>
        <bottom style="thin">
          <color theme="1"/>
        </bottom>
        <vertical/>
        <horizontal/>
      </border>
    </dxf>
    <dxf>
      <border outline="0">
        <top style="thin">
          <color rgb="FF000000"/>
        </top>
      </border>
    </dxf>
    <dxf>
      <border outline="0">
        <left style="medium">
          <color rgb="FF000000"/>
        </left>
        <right style="medium">
          <color rgb="FF000000"/>
        </right>
        <top style="medium">
          <color rgb="FF000000"/>
        </top>
        <bottom style="medium">
          <color rgb="FF000000"/>
        </bottom>
      </border>
    </dxf>
    <dxf>
      <fill>
        <patternFill patternType="solid">
          <fgColor rgb="FF000000"/>
          <bgColor rgb="FFFCE4D6"/>
        </patternFill>
      </fill>
      <alignment horizontal="center" vertical="center" textRotation="0" wrapText="0" indent="0" justifyLastLine="0" shrinkToFit="0" readingOrder="0"/>
    </dxf>
    <dxf>
      <border outline="0">
        <bottom style="thin">
          <color rgb="FF000000"/>
        </bottom>
      </border>
    </dxf>
    <dxf>
      <font>
        <strike val="0"/>
        <outline val="0"/>
        <shadow val="0"/>
        <u val="none"/>
        <vertAlign val="baseline"/>
        <sz val="11"/>
        <color auto="1"/>
        <name val="Calibri"/>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theme="1"/>
        </left>
        <right style="thin">
          <color theme="1"/>
        </right>
        <top/>
        <bottom/>
      </border>
    </dxf>
  </dxfs>
  <tableStyles count="1" defaultTableStyle="TableStyleMedium2" defaultPivotStyle="PivotStyleLight16">
    <tableStyle name="Invisible" pivot="0" table="0" count="0" xr9:uid="{00000000-0011-0000-FFFF-FFFF00000000}"/>
  </tableStyles>
  <colors>
    <mruColors>
      <color rgb="FF4D7731"/>
      <color rgb="FF121736"/>
      <color rgb="FF1D2557"/>
      <color rgb="FF273277"/>
      <color rgb="FF2C3988"/>
      <color rgb="FF3849AE"/>
      <color rgb="FF5162C7"/>
      <color rgb="FF6E7CD0"/>
      <color rgb="FF8B96D9"/>
      <color rgb="FFB4BB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s>
</file>

<file path=xl/ctrlProps/ctrlProp1.xml><?xml version="1.0" encoding="utf-8"?>
<formControlPr xmlns="http://schemas.microsoft.com/office/spreadsheetml/2009/9/main" objectType="Spin" dx="26" fmlaLink="Moteur!$D$6" max="3" min="1" page="10" val="3"/>
</file>

<file path=xl/ctrlProps/ctrlProp10.xml><?xml version="1.0" encoding="utf-8"?>
<formControlPr xmlns="http://schemas.microsoft.com/office/spreadsheetml/2009/9/main" objectType="Spin" dx="26" fmlaLink="Moteur!$D$14" max="3" min="2" page="10" val="3"/>
</file>

<file path=xl/ctrlProps/ctrlProp11.xml><?xml version="1.0" encoding="utf-8"?>
<formControlPr xmlns="http://schemas.microsoft.com/office/spreadsheetml/2009/9/main" objectType="Spin" dx="26" fmlaLink="Moteur!$D$6" max="3" min="1" page="10" val="3"/>
</file>

<file path=xl/ctrlProps/ctrlProp12.xml><?xml version="1.0" encoding="utf-8"?>
<formControlPr xmlns="http://schemas.microsoft.com/office/spreadsheetml/2009/9/main" objectType="Spin" dx="26" fmlaLink="Moteur!$D$14" max="3" min="2" page="10" val="3"/>
</file>

<file path=xl/ctrlProps/ctrlProp13.xml><?xml version="1.0" encoding="utf-8"?>
<formControlPr xmlns="http://schemas.microsoft.com/office/spreadsheetml/2009/9/main" objectType="Spin" dx="26" fmlaLink="Moteur!$D$6" max="3" min="1" page="10" val="3"/>
</file>

<file path=xl/ctrlProps/ctrlProp14.xml><?xml version="1.0" encoding="utf-8"?>
<formControlPr xmlns="http://schemas.microsoft.com/office/spreadsheetml/2009/9/main" objectType="Spin" dx="26" fmlaLink="Moteur!$D$14" max="3" min="2" page="10" val="3"/>
</file>

<file path=xl/ctrlProps/ctrlProp15.xml><?xml version="1.0" encoding="utf-8"?>
<formControlPr xmlns="http://schemas.microsoft.com/office/spreadsheetml/2009/9/main" objectType="Spin" dx="26" fmlaLink="Moteur!$D$6" max="3" min="1" page="10" val="3"/>
</file>

<file path=xl/ctrlProps/ctrlProp16.xml><?xml version="1.0" encoding="utf-8"?>
<formControlPr xmlns="http://schemas.microsoft.com/office/spreadsheetml/2009/9/main" objectType="Spin" dx="26" fmlaLink="Moteur!$D$6" max="3" min="1" page="10" val="3"/>
</file>

<file path=xl/ctrlProps/ctrlProp17.xml><?xml version="1.0" encoding="utf-8"?>
<formControlPr xmlns="http://schemas.microsoft.com/office/spreadsheetml/2009/9/main" objectType="Spin" dx="26" fmlaLink="[1]Moteur!$D$6" max="3" min="1" page="10" val="3"/>
</file>

<file path=xl/ctrlProps/ctrlProp18.xml><?xml version="1.0" encoding="utf-8"?>
<formControlPr xmlns="http://schemas.microsoft.com/office/spreadsheetml/2009/9/main" objectType="Spin" dx="26" fmlaLink="Moteur!$D$14" max="3" min="2" page="10" val="3"/>
</file>

<file path=xl/ctrlProps/ctrlProp2.xml><?xml version="1.0" encoding="utf-8"?>
<formControlPr xmlns="http://schemas.microsoft.com/office/spreadsheetml/2009/9/main" objectType="Spin" dx="26" fmlaLink="Moteur!$D$14" max="3" min="2" page="10" val="3"/>
</file>

<file path=xl/ctrlProps/ctrlProp3.xml><?xml version="1.0" encoding="utf-8"?>
<formControlPr xmlns="http://schemas.microsoft.com/office/spreadsheetml/2009/9/main" objectType="Spin" dx="26" fmlaLink="Moteur!$D$6" max="3" min="1" page="10" val="3"/>
</file>

<file path=xl/ctrlProps/ctrlProp4.xml><?xml version="1.0" encoding="utf-8"?>
<formControlPr xmlns="http://schemas.microsoft.com/office/spreadsheetml/2009/9/main" objectType="Spin" dx="26" fmlaLink="Moteur!$D$14" max="3" min="2" page="10" val="3"/>
</file>

<file path=xl/ctrlProps/ctrlProp5.xml><?xml version="1.0" encoding="utf-8"?>
<formControlPr xmlns="http://schemas.microsoft.com/office/spreadsheetml/2009/9/main" objectType="Spin" dx="26" fmlaLink="[1]Moteur!$D$6" max="3" min="1" page="10" val="3"/>
</file>

<file path=xl/ctrlProps/ctrlProp6.xml><?xml version="1.0" encoding="utf-8"?>
<formControlPr xmlns="http://schemas.microsoft.com/office/spreadsheetml/2009/9/main" objectType="Spin" dx="26" fmlaLink="Moteur!$D$14" max="3" min="2" page="10" val="3"/>
</file>

<file path=xl/ctrlProps/ctrlProp7.xml><?xml version="1.0" encoding="utf-8"?>
<formControlPr xmlns="http://schemas.microsoft.com/office/spreadsheetml/2009/9/main" objectType="Spin" dx="26" fmlaLink="Moteur!$D$6" max="3" min="1" page="10" val="3"/>
</file>

<file path=xl/ctrlProps/ctrlProp8.xml><?xml version="1.0" encoding="utf-8"?>
<formControlPr xmlns="http://schemas.microsoft.com/office/spreadsheetml/2009/9/main" objectType="Spin" dx="26" fmlaLink="Moteur!$D$14" max="3" min="2" page="10" val="3"/>
</file>

<file path=xl/ctrlProps/ctrlProp9.xml><?xml version="1.0" encoding="utf-8"?>
<formControlPr xmlns="http://schemas.microsoft.com/office/spreadsheetml/2009/9/main" objectType="Spin" dx="26" fmlaLink="Moteur!$D$6" max="3" min="1" page="10" val="3"/>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68581</xdr:colOff>
      <xdr:row>0</xdr:row>
      <xdr:rowOff>0</xdr:rowOff>
    </xdr:from>
    <xdr:to>
      <xdr:col>3</xdr:col>
      <xdr:colOff>435287</xdr:colOff>
      <xdr:row>1</xdr:row>
      <xdr:rowOff>8965</xdr:rowOff>
    </xdr:to>
    <xdr:pic>
      <xdr:nvPicPr>
        <xdr:cNvPr id="2" name="Image 1" descr="Fumée D'icône D'usine Imágenes y Fotos - 123RF">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806" t="20806" r="16779" b="21476"/>
        <a:stretch/>
      </xdr:blipFill>
      <xdr:spPr bwMode="auto">
        <a:xfrm>
          <a:off x="708661" y="0"/>
          <a:ext cx="366706" cy="33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152400</xdr:colOff>
      <xdr:row>7</xdr:row>
      <xdr:rowOff>14702</xdr:rowOff>
    </xdr:from>
    <xdr:to>
      <xdr:col>3</xdr:col>
      <xdr:colOff>441959</xdr:colOff>
      <xdr:row>7</xdr:row>
      <xdr:rowOff>365760</xdr:rowOff>
    </xdr:to>
    <xdr:pic>
      <xdr:nvPicPr>
        <xdr:cNvPr id="3" name="Image 2"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249" t="25979" r="29537" b="25267"/>
        <a:stretch/>
      </xdr:blipFill>
      <xdr:spPr bwMode="auto">
        <a:xfrm>
          <a:off x="792480" y="184350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13</xdr:col>
          <xdr:colOff>617220</xdr:colOff>
          <xdr:row>3</xdr:row>
          <xdr:rowOff>0</xdr:rowOff>
        </xdr:from>
        <xdr:to>
          <xdr:col>13</xdr:col>
          <xdr:colOff>861060</xdr:colOff>
          <xdr:row>5</xdr:row>
          <xdr:rowOff>0</xdr:rowOff>
        </xdr:to>
        <xdr:sp macro="" textlink="">
          <xdr:nvSpPr>
            <xdr:cNvPr id="62465" name="Spinner 1" hidden="1">
              <a:extLst>
                <a:ext uri="{63B3BB69-23CF-44E3-9099-C40C66FF867C}">
                  <a14:compatExt spid="_x0000_s62465"/>
                </a:ext>
                <a:ext uri="{FF2B5EF4-FFF2-40B4-BE49-F238E27FC236}">
                  <a16:creationId xmlns:a16="http://schemas.microsoft.com/office/drawing/2014/main" id="{00000000-0008-0000-0200-000001F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236220</xdr:colOff>
          <xdr:row>3</xdr:row>
          <xdr:rowOff>0</xdr:rowOff>
        </xdr:from>
        <xdr:to>
          <xdr:col>3</xdr:col>
          <xdr:colOff>480060</xdr:colOff>
          <xdr:row>4</xdr:row>
          <xdr:rowOff>327660</xdr:rowOff>
        </xdr:to>
        <xdr:sp macro="" textlink="">
          <xdr:nvSpPr>
            <xdr:cNvPr id="62466" name="Spinner 2" hidden="1">
              <a:extLst>
                <a:ext uri="{63B3BB69-23CF-44E3-9099-C40C66FF867C}">
                  <a14:compatExt spid="_x0000_s62466"/>
                </a:ext>
                <a:ext uri="{FF2B5EF4-FFF2-40B4-BE49-F238E27FC236}">
                  <a16:creationId xmlns:a16="http://schemas.microsoft.com/office/drawing/2014/main" id="{00000000-0008-0000-0200-000002F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3</xdr:col>
      <xdr:colOff>152400</xdr:colOff>
      <xdr:row>7</xdr:row>
      <xdr:rowOff>14702</xdr:rowOff>
    </xdr:from>
    <xdr:to>
      <xdr:col>3</xdr:col>
      <xdr:colOff>441959</xdr:colOff>
      <xdr:row>7</xdr:row>
      <xdr:rowOff>358140</xdr:rowOff>
    </xdr:to>
    <xdr:pic>
      <xdr:nvPicPr>
        <xdr:cNvPr id="3" name="Image 2"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D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184350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152400</xdr:colOff>
      <xdr:row>509</xdr:row>
      <xdr:rowOff>14702</xdr:rowOff>
    </xdr:from>
    <xdr:ext cx="289559" cy="351058"/>
    <xdr:pic>
      <xdr:nvPicPr>
        <xdr:cNvPr id="4" name="Image 3"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D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614880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xdr:from>
          <xdr:col>13</xdr:col>
          <xdr:colOff>617220</xdr:colOff>
          <xdr:row>3</xdr:row>
          <xdr:rowOff>0</xdr:rowOff>
        </xdr:from>
        <xdr:to>
          <xdr:col>13</xdr:col>
          <xdr:colOff>861060</xdr:colOff>
          <xdr:row>5</xdr:row>
          <xdr:rowOff>0</xdr:rowOff>
        </xdr:to>
        <xdr:sp macro="" textlink="">
          <xdr:nvSpPr>
            <xdr:cNvPr id="63489" name="Spinner 1" hidden="1">
              <a:extLst>
                <a:ext uri="{63B3BB69-23CF-44E3-9099-C40C66FF867C}">
                  <a14:compatExt spid="_x0000_s63489"/>
                </a:ext>
                <a:ext uri="{FF2B5EF4-FFF2-40B4-BE49-F238E27FC236}">
                  <a16:creationId xmlns:a16="http://schemas.microsoft.com/office/drawing/2014/main" id="{00000000-0008-0000-0D00-000001F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236220</xdr:colOff>
          <xdr:row>3</xdr:row>
          <xdr:rowOff>0</xdr:rowOff>
        </xdr:from>
        <xdr:to>
          <xdr:col>3</xdr:col>
          <xdr:colOff>480060</xdr:colOff>
          <xdr:row>4</xdr:row>
          <xdr:rowOff>327660</xdr:rowOff>
        </xdr:to>
        <xdr:sp macro="" textlink="">
          <xdr:nvSpPr>
            <xdr:cNvPr id="63490" name="Spinner 2" hidden="1">
              <a:extLst>
                <a:ext uri="{63B3BB69-23CF-44E3-9099-C40C66FF867C}">
                  <a14:compatExt spid="_x0000_s63490"/>
                </a:ext>
                <a:ext uri="{FF2B5EF4-FFF2-40B4-BE49-F238E27FC236}">
                  <a16:creationId xmlns:a16="http://schemas.microsoft.com/office/drawing/2014/main" id="{00000000-0008-0000-0D00-000002F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68581</xdr:colOff>
      <xdr:row>0</xdr:row>
      <xdr:rowOff>0</xdr:rowOff>
    </xdr:from>
    <xdr:to>
      <xdr:col>3</xdr:col>
      <xdr:colOff>439097</xdr:colOff>
      <xdr:row>1</xdr:row>
      <xdr:rowOff>16585</xdr:rowOff>
    </xdr:to>
    <xdr:pic>
      <xdr:nvPicPr>
        <xdr:cNvPr id="6" name="Image 5" descr="Fumée D'icône D'usine Imágenes y Fotos - 123RF">
          <a:extLst>
            <a:ext uri="{FF2B5EF4-FFF2-40B4-BE49-F238E27FC236}">
              <a16:creationId xmlns:a16="http://schemas.microsoft.com/office/drawing/2014/main" id="{00000000-0008-0000-0400-000006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806" t="20806" r="16779" b="21476"/>
        <a:stretch/>
      </xdr:blipFill>
      <xdr:spPr bwMode="auto">
        <a:xfrm>
          <a:off x="714040" y="0"/>
          <a:ext cx="366706" cy="340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152400</xdr:colOff>
      <xdr:row>7</xdr:row>
      <xdr:rowOff>14702</xdr:rowOff>
    </xdr:from>
    <xdr:to>
      <xdr:col>3</xdr:col>
      <xdr:colOff>438149</xdr:colOff>
      <xdr:row>7</xdr:row>
      <xdr:rowOff>361950</xdr:rowOff>
    </xdr:to>
    <xdr:pic>
      <xdr:nvPicPr>
        <xdr:cNvPr id="9" name="Image 8"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400-000009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249" t="25979" r="29537" b="25267"/>
        <a:stretch/>
      </xdr:blipFill>
      <xdr:spPr bwMode="auto">
        <a:xfrm>
          <a:off x="472440" y="161490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161365</xdr:colOff>
      <xdr:row>509</xdr:row>
      <xdr:rowOff>95385</xdr:rowOff>
    </xdr:from>
    <xdr:ext cx="289559" cy="351058"/>
    <xdr:pic>
      <xdr:nvPicPr>
        <xdr:cNvPr id="13" name="Image 12"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400-00000D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249" t="25979" r="29537" b="25267"/>
        <a:stretch/>
      </xdr:blipFill>
      <xdr:spPr bwMode="auto">
        <a:xfrm>
          <a:off x="806824" y="42570161"/>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403411</xdr:colOff>
      <xdr:row>9</xdr:row>
      <xdr:rowOff>62753</xdr:rowOff>
    </xdr:from>
    <xdr:to>
      <xdr:col>4</xdr:col>
      <xdr:colOff>784421</xdr:colOff>
      <xdr:row>10</xdr:row>
      <xdr:rowOff>247324</xdr:rowOff>
    </xdr:to>
    <xdr:pic>
      <xdr:nvPicPr>
        <xdr:cNvPr id="5" name="Imag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1929" y="3612777"/>
          <a:ext cx="377200" cy="377200"/>
        </a:xfrm>
        <a:prstGeom prst="rect">
          <a:avLst/>
        </a:prstGeom>
      </xdr:spPr>
    </xdr:pic>
    <xdr:clientData/>
  </xdr:twoCellAnchor>
  <xdr:twoCellAnchor editAs="oneCell">
    <xdr:from>
      <xdr:col>4</xdr:col>
      <xdr:colOff>385483</xdr:colOff>
      <xdr:row>30</xdr:row>
      <xdr:rowOff>71718</xdr:rowOff>
    </xdr:from>
    <xdr:to>
      <xdr:col>4</xdr:col>
      <xdr:colOff>778585</xdr:colOff>
      <xdr:row>31</xdr:row>
      <xdr:rowOff>287431</xdr:rowOff>
    </xdr:to>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24001" y="4285130"/>
          <a:ext cx="385482" cy="385482"/>
        </a:xfrm>
        <a:prstGeom prst="rect">
          <a:avLst/>
        </a:prstGeom>
      </xdr:spPr>
    </xdr:pic>
    <xdr:clientData/>
  </xdr:twoCellAnchor>
  <xdr:twoCellAnchor editAs="oneCell">
    <xdr:from>
      <xdr:col>4</xdr:col>
      <xdr:colOff>268329</xdr:colOff>
      <xdr:row>385</xdr:row>
      <xdr:rowOff>80681</xdr:rowOff>
    </xdr:from>
    <xdr:to>
      <xdr:col>4</xdr:col>
      <xdr:colOff>645458</xdr:colOff>
      <xdr:row>386</xdr:row>
      <xdr:rowOff>282325</xdr:rowOff>
    </xdr:to>
    <xdr:pic>
      <xdr:nvPicPr>
        <xdr:cNvPr id="11" name="Imag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6847" y="34630657"/>
          <a:ext cx="377129" cy="377129"/>
        </a:xfrm>
        <a:prstGeom prst="rect">
          <a:avLst/>
        </a:prstGeom>
      </xdr:spPr>
    </xdr:pic>
    <xdr:clientData/>
  </xdr:twoCellAnchor>
  <xdr:twoCellAnchor editAs="oneCell">
    <xdr:from>
      <xdr:col>4</xdr:col>
      <xdr:colOff>277905</xdr:colOff>
      <xdr:row>419</xdr:row>
      <xdr:rowOff>71718</xdr:rowOff>
    </xdr:from>
    <xdr:to>
      <xdr:col>4</xdr:col>
      <xdr:colOff>701100</xdr:colOff>
      <xdr:row>420</xdr:row>
      <xdr:rowOff>304189</xdr:rowOff>
    </xdr:to>
    <xdr:pic>
      <xdr:nvPicPr>
        <xdr:cNvPr id="21" name="Imag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16423" y="40888024"/>
          <a:ext cx="411765" cy="411765"/>
        </a:xfrm>
        <a:prstGeom prst="rect">
          <a:avLst/>
        </a:prstGeom>
      </xdr:spPr>
    </xdr:pic>
    <xdr:clientData/>
  </xdr:twoCellAnchor>
  <mc:AlternateContent xmlns:mc="http://schemas.openxmlformats.org/markup-compatibility/2006">
    <mc:Choice xmlns:a14="http://schemas.microsoft.com/office/drawing/2010/main" Requires="a14">
      <xdr:twoCellAnchor>
        <xdr:from>
          <xdr:col>13</xdr:col>
          <xdr:colOff>617220</xdr:colOff>
          <xdr:row>3</xdr:row>
          <xdr:rowOff>0</xdr:rowOff>
        </xdr:from>
        <xdr:to>
          <xdr:col>13</xdr:col>
          <xdr:colOff>861060</xdr:colOff>
          <xdr:row>5</xdr:row>
          <xdr:rowOff>0</xdr:rowOff>
        </xdr:to>
        <xdr:sp macro="" textlink="">
          <xdr:nvSpPr>
            <xdr:cNvPr id="1025" name="Spinner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236220</xdr:colOff>
          <xdr:row>3</xdr:row>
          <xdr:rowOff>0</xdr:rowOff>
        </xdr:from>
        <xdr:to>
          <xdr:col>3</xdr:col>
          <xdr:colOff>480060</xdr:colOff>
          <xdr:row>4</xdr:row>
          <xdr:rowOff>327660</xdr:rowOff>
        </xdr:to>
        <xdr:sp macro="" textlink="">
          <xdr:nvSpPr>
            <xdr:cNvPr id="1028" name="Spinner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4</xdr:col>
      <xdr:colOff>228600</xdr:colOff>
      <xdr:row>92</xdr:row>
      <xdr:rowOff>76200</xdr:rowOff>
    </xdr:from>
    <xdr:to>
      <xdr:col>4</xdr:col>
      <xdr:colOff>627642</xdr:colOff>
      <xdr:row>93</xdr:row>
      <xdr:rowOff>302239</xdr:rowOff>
    </xdr:to>
    <xdr:pic>
      <xdr:nvPicPr>
        <xdr:cNvPr id="12" name="Imag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82486" y="22794686"/>
          <a:ext cx="412377" cy="411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152400</xdr:colOff>
      <xdr:row>7</xdr:row>
      <xdr:rowOff>14702</xdr:rowOff>
    </xdr:from>
    <xdr:to>
      <xdr:col>3</xdr:col>
      <xdr:colOff>438149</xdr:colOff>
      <xdr:row>7</xdr:row>
      <xdr:rowOff>361950</xdr:rowOff>
    </xdr:to>
    <xdr:pic>
      <xdr:nvPicPr>
        <xdr:cNvPr id="3" name="Image 2"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184350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152400</xdr:colOff>
      <xdr:row>311</xdr:row>
      <xdr:rowOff>14702</xdr:rowOff>
    </xdr:from>
    <xdr:ext cx="289559" cy="351058"/>
    <xdr:pic>
      <xdr:nvPicPr>
        <xdr:cNvPr id="4" name="Image 3"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1834080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xdr:from>
          <xdr:col>13</xdr:col>
          <xdr:colOff>617220</xdr:colOff>
          <xdr:row>3</xdr:row>
          <xdr:rowOff>0</xdr:rowOff>
        </xdr:from>
        <xdr:to>
          <xdr:col>13</xdr:col>
          <xdr:colOff>861060</xdr:colOff>
          <xdr:row>5</xdr:row>
          <xdr:rowOff>0</xdr:rowOff>
        </xdr:to>
        <xdr:sp macro="" textlink="">
          <xdr:nvSpPr>
            <xdr:cNvPr id="38913" name="Spinner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236220</xdr:colOff>
          <xdr:row>3</xdr:row>
          <xdr:rowOff>0</xdr:rowOff>
        </xdr:from>
        <xdr:to>
          <xdr:col>3</xdr:col>
          <xdr:colOff>480060</xdr:colOff>
          <xdr:row>4</xdr:row>
          <xdr:rowOff>327660</xdr:rowOff>
        </xdr:to>
        <xdr:sp macro="" textlink="">
          <xdr:nvSpPr>
            <xdr:cNvPr id="38914" name="Spinner 2" hidden="1">
              <a:extLst>
                <a:ext uri="{63B3BB69-23CF-44E3-9099-C40C66FF867C}">
                  <a14:compatExt spid="_x0000_s38914"/>
                </a:ext>
                <a:ext uri="{FF2B5EF4-FFF2-40B4-BE49-F238E27FC236}">
                  <a16:creationId xmlns:a16="http://schemas.microsoft.com/office/drawing/2014/main" id="{00000000-0008-0000-0500-0000029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152400</xdr:colOff>
      <xdr:row>7</xdr:row>
      <xdr:rowOff>14702</xdr:rowOff>
    </xdr:from>
    <xdr:to>
      <xdr:col>3</xdr:col>
      <xdr:colOff>438149</xdr:colOff>
      <xdr:row>7</xdr:row>
      <xdr:rowOff>361950</xdr:rowOff>
    </xdr:to>
    <xdr:pic>
      <xdr:nvPicPr>
        <xdr:cNvPr id="3" name="Image 2"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184350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152400</xdr:colOff>
      <xdr:row>251</xdr:row>
      <xdr:rowOff>14702</xdr:rowOff>
    </xdr:from>
    <xdr:ext cx="289559" cy="351058"/>
    <xdr:pic>
      <xdr:nvPicPr>
        <xdr:cNvPr id="4" name="Image 3"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1230576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xdr:from>
          <xdr:col>13</xdr:col>
          <xdr:colOff>617220</xdr:colOff>
          <xdr:row>3</xdr:row>
          <xdr:rowOff>0</xdr:rowOff>
        </xdr:from>
        <xdr:to>
          <xdr:col>13</xdr:col>
          <xdr:colOff>861060</xdr:colOff>
          <xdr:row>5</xdr:row>
          <xdr:rowOff>0</xdr:rowOff>
        </xdr:to>
        <xdr:sp macro="" textlink="">
          <xdr:nvSpPr>
            <xdr:cNvPr id="32769" name="Spinner 1" hidden="1">
              <a:extLst>
                <a:ext uri="{63B3BB69-23CF-44E3-9099-C40C66FF867C}">
                  <a14:compatExt spid="_x0000_s32769"/>
                </a:ext>
                <a:ext uri="{FF2B5EF4-FFF2-40B4-BE49-F238E27FC236}">
                  <a16:creationId xmlns:a16="http://schemas.microsoft.com/office/drawing/2014/main" id="{00000000-0008-0000-0600-0000018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236220</xdr:colOff>
          <xdr:row>3</xdr:row>
          <xdr:rowOff>0</xdr:rowOff>
        </xdr:from>
        <xdr:to>
          <xdr:col>3</xdr:col>
          <xdr:colOff>480060</xdr:colOff>
          <xdr:row>4</xdr:row>
          <xdr:rowOff>327660</xdr:rowOff>
        </xdr:to>
        <xdr:sp macro="" textlink="">
          <xdr:nvSpPr>
            <xdr:cNvPr id="32770" name="Spinner 2" hidden="1">
              <a:extLst>
                <a:ext uri="{63B3BB69-23CF-44E3-9099-C40C66FF867C}">
                  <a14:compatExt spid="_x0000_s32770"/>
                </a:ext>
                <a:ext uri="{FF2B5EF4-FFF2-40B4-BE49-F238E27FC236}">
                  <a16:creationId xmlns:a16="http://schemas.microsoft.com/office/drawing/2014/main" id="{00000000-0008-0000-0600-0000028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xdr:col>
      <xdr:colOff>152400</xdr:colOff>
      <xdr:row>7</xdr:row>
      <xdr:rowOff>14702</xdr:rowOff>
    </xdr:from>
    <xdr:to>
      <xdr:col>3</xdr:col>
      <xdr:colOff>441959</xdr:colOff>
      <xdr:row>7</xdr:row>
      <xdr:rowOff>365760</xdr:rowOff>
    </xdr:to>
    <xdr:pic>
      <xdr:nvPicPr>
        <xdr:cNvPr id="3" name="Image 2"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184350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152400</xdr:colOff>
      <xdr:row>232</xdr:row>
      <xdr:rowOff>14702</xdr:rowOff>
    </xdr:from>
    <xdr:ext cx="289559" cy="351058"/>
    <xdr:pic>
      <xdr:nvPicPr>
        <xdr:cNvPr id="4" name="Image 3"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7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1230576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xdr:from>
          <xdr:col>13</xdr:col>
          <xdr:colOff>617220</xdr:colOff>
          <xdr:row>3</xdr:row>
          <xdr:rowOff>0</xdr:rowOff>
        </xdr:from>
        <xdr:to>
          <xdr:col>13</xdr:col>
          <xdr:colOff>861060</xdr:colOff>
          <xdr:row>5</xdr:row>
          <xdr:rowOff>0</xdr:rowOff>
        </xdr:to>
        <xdr:sp macro="" textlink="">
          <xdr:nvSpPr>
            <xdr:cNvPr id="33793" name="Spinner 1"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236220</xdr:colOff>
          <xdr:row>3</xdr:row>
          <xdr:rowOff>0</xdr:rowOff>
        </xdr:from>
        <xdr:to>
          <xdr:col>3</xdr:col>
          <xdr:colOff>480060</xdr:colOff>
          <xdr:row>4</xdr:row>
          <xdr:rowOff>327660</xdr:rowOff>
        </xdr:to>
        <xdr:sp macro="" textlink="">
          <xdr:nvSpPr>
            <xdr:cNvPr id="33794" name="Spinner 2" hidden="1">
              <a:extLst>
                <a:ext uri="{63B3BB69-23CF-44E3-9099-C40C66FF867C}">
                  <a14:compatExt spid="_x0000_s33794"/>
                </a:ext>
                <a:ext uri="{FF2B5EF4-FFF2-40B4-BE49-F238E27FC236}">
                  <a16:creationId xmlns:a16="http://schemas.microsoft.com/office/drawing/2014/main" id="{00000000-0008-0000-0700-0000028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xdr:col>
      <xdr:colOff>152400</xdr:colOff>
      <xdr:row>7</xdr:row>
      <xdr:rowOff>14702</xdr:rowOff>
    </xdr:from>
    <xdr:to>
      <xdr:col>3</xdr:col>
      <xdr:colOff>441959</xdr:colOff>
      <xdr:row>7</xdr:row>
      <xdr:rowOff>358140</xdr:rowOff>
    </xdr:to>
    <xdr:pic>
      <xdr:nvPicPr>
        <xdr:cNvPr id="3" name="Image 2"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8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184350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152400</xdr:colOff>
      <xdr:row>301</xdr:row>
      <xdr:rowOff>14702</xdr:rowOff>
    </xdr:from>
    <xdr:ext cx="289559" cy="351058"/>
    <xdr:pic>
      <xdr:nvPicPr>
        <xdr:cNvPr id="4" name="Image 3"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8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5165544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xdr:from>
          <xdr:col>13</xdr:col>
          <xdr:colOff>617220</xdr:colOff>
          <xdr:row>3</xdr:row>
          <xdr:rowOff>0</xdr:rowOff>
        </xdr:from>
        <xdr:to>
          <xdr:col>13</xdr:col>
          <xdr:colOff>861060</xdr:colOff>
          <xdr:row>5</xdr:row>
          <xdr:rowOff>0</xdr:rowOff>
        </xdr:to>
        <xdr:sp macro="" textlink="">
          <xdr:nvSpPr>
            <xdr:cNvPr id="73729" name="Spinner 1" hidden="1">
              <a:extLst>
                <a:ext uri="{63B3BB69-23CF-44E3-9099-C40C66FF867C}">
                  <a14:compatExt spid="_x0000_s73729"/>
                </a:ext>
                <a:ext uri="{FF2B5EF4-FFF2-40B4-BE49-F238E27FC236}">
                  <a16:creationId xmlns:a16="http://schemas.microsoft.com/office/drawing/2014/main" id="{00000000-0008-0000-0800-00000120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236220</xdr:colOff>
          <xdr:row>3</xdr:row>
          <xdr:rowOff>0</xdr:rowOff>
        </xdr:from>
        <xdr:to>
          <xdr:col>3</xdr:col>
          <xdr:colOff>480060</xdr:colOff>
          <xdr:row>4</xdr:row>
          <xdr:rowOff>327660</xdr:rowOff>
        </xdr:to>
        <xdr:sp macro="" textlink="">
          <xdr:nvSpPr>
            <xdr:cNvPr id="73730" name="Spinner 2" hidden="1">
              <a:extLst>
                <a:ext uri="{63B3BB69-23CF-44E3-9099-C40C66FF867C}">
                  <a14:compatExt spid="_x0000_s73730"/>
                </a:ext>
                <a:ext uri="{FF2B5EF4-FFF2-40B4-BE49-F238E27FC236}">
                  <a16:creationId xmlns:a16="http://schemas.microsoft.com/office/drawing/2014/main" id="{00000000-0008-0000-0800-00000220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3</xdr:col>
      <xdr:colOff>152400</xdr:colOff>
      <xdr:row>7</xdr:row>
      <xdr:rowOff>14702</xdr:rowOff>
    </xdr:from>
    <xdr:to>
      <xdr:col>3</xdr:col>
      <xdr:colOff>438149</xdr:colOff>
      <xdr:row>7</xdr:row>
      <xdr:rowOff>361950</xdr:rowOff>
    </xdr:to>
    <xdr:pic>
      <xdr:nvPicPr>
        <xdr:cNvPr id="3" name="Image 2"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9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184350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152400</xdr:colOff>
      <xdr:row>79</xdr:row>
      <xdr:rowOff>14702</xdr:rowOff>
    </xdr:from>
    <xdr:ext cx="289559" cy="351058"/>
    <xdr:pic>
      <xdr:nvPicPr>
        <xdr:cNvPr id="4" name="Image 3"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9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92480" y="852624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xdr:from>
          <xdr:col>13</xdr:col>
          <xdr:colOff>617220</xdr:colOff>
          <xdr:row>3</xdr:row>
          <xdr:rowOff>0</xdr:rowOff>
        </xdr:from>
        <xdr:to>
          <xdr:col>13</xdr:col>
          <xdr:colOff>861060</xdr:colOff>
          <xdr:row>5</xdr:row>
          <xdr:rowOff>0</xdr:rowOff>
        </xdr:to>
        <xdr:sp macro="" textlink="">
          <xdr:nvSpPr>
            <xdr:cNvPr id="74753" name="Spinner 1" hidden="1">
              <a:extLst>
                <a:ext uri="{63B3BB69-23CF-44E3-9099-C40C66FF867C}">
                  <a14:compatExt spid="_x0000_s74753"/>
                </a:ext>
                <a:ext uri="{FF2B5EF4-FFF2-40B4-BE49-F238E27FC236}">
                  <a16:creationId xmlns:a16="http://schemas.microsoft.com/office/drawing/2014/main" id="{00000000-0008-0000-0900-0000012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236220</xdr:colOff>
          <xdr:row>3</xdr:row>
          <xdr:rowOff>0</xdr:rowOff>
        </xdr:from>
        <xdr:to>
          <xdr:col>3</xdr:col>
          <xdr:colOff>480060</xdr:colOff>
          <xdr:row>4</xdr:row>
          <xdr:rowOff>327660</xdr:rowOff>
        </xdr:to>
        <xdr:sp macro="" textlink="">
          <xdr:nvSpPr>
            <xdr:cNvPr id="74754" name="Spinner 2" hidden="1">
              <a:extLst>
                <a:ext uri="{63B3BB69-23CF-44E3-9099-C40C66FF867C}">
                  <a14:compatExt spid="_x0000_s74754"/>
                </a:ext>
                <a:ext uri="{FF2B5EF4-FFF2-40B4-BE49-F238E27FC236}">
                  <a16:creationId xmlns:a16="http://schemas.microsoft.com/office/drawing/2014/main" id="{00000000-0008-0000-0900-0000022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152400</xdr:colOff>
      <xdr:row>7</xdr:row>
      <xdr:rowOff>14702</xdr:rowOff>
    </xdr:from>
    <xdr:to>
      <xdr:col>3</xdr:col>
      <xdr:colOff>438149</xdr:colOff>
      <xdr:row>7</xdr:row>
      <xdr:rowOff>361950</xdr:rowOff>
    </xdr:to>
    <xdr:pic>
      <xdr:nvPicPr>
        <xdr:cNvPr id="2" name="Image 1"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A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81050" y="1828262"/>
          <a:ext cx="289559" cy="339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152400</xdr:colOff>
      <xdr:row>110</xdr:row>
      <xdr:rowOff>14702</xdr:rowOff>
    </xdr:from>
    <xdr:ext cx="289559" cy="351058"/>
    <xdr:pic>
      <xdr:nvPicPr>
        <xdr:cNvPr id="3" name="Image 2"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81050" y="1634436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xdr:from>
          <xdr:col>13</xdr:col>
          <xdr:colOff>617220</xdr:colOff>
          <xdr:row>3</xdr:row>
          <xdr:rowOff>0</xdr:rowOff>
        </xdr:from>
        <xdr:to>
          <xdr:col>13</xdr:col>
          <xdr:colOff>861060</xdr:colOff>
          <xdr:row>5</xdr:row>
          <xdr:rowOff>0</xdr:rowOff>
        </xdr:to>
        <xdr:sp macro="" textlink="">
          <xdr:nvSpPr>
            <xdr:cNvPr id="93185" name="Spinner 1" hidden="1">
              <a:extLst>
                <a:ext uri="{63B3BB69-23CF-44E3-9099-C40C66FF867C}">
                  <a14:compatExt spid="_x0000_s93185"/>
                </a:ext>
                <a:ext uri="{FF2B5EF4-FFF2-40B4-BE49-F238E27FC236}">
                  <a16:creationId xmlns:a16="http://schemas.microsoft.com/office/drawing/2014/main" id="{00000000-0008-0000-0A00-0000016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3</xdr:col>
      <xdr:colOff>152400</xdr:colOff>
      <xdr:row>7</xdr:row>
      <xdr:rowOff>14702</xdr:rowOff>
    </xdr:from>
    <xdr:to>
      <xdr:col>3</xdr:col>
      <xdr:colOff>441959</xdr:colOff>
      <xdr:row>7</xdr:row>
      <xdr:rowOff>358140</xdr:rowOff>
    </xdr:to>
    <xdr:pic>
      <xdr:nvPicPr>
        <xdr:cNvPr id="2" name="Image 1"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B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81050" y="1828262"/>
          <a:ext cx="285749" cy="343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152400</xdr:colOff>
      <xdr:row>121</xdr:row>
      <xdr:rowOff>14702</xdr:rowOff>
    </xdr:from>
    <xdr:ext cx="289559" cy="351058"/>
    <xdr:pic>
      <xdr:nvPicPr>
        <xdr:cNvPr id="3" name="Image 2" descr="Icône De Ligne De Stockage De Base De Données Virtuelle, Signe De Vecteur  De Contour, Pictogramme De Style Linéaire Isolé Sur Blanc. Illustration De  Symbole De Stockage Serveur. Clip Art Libres De">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49" t="25979" r="29537" b="25267"/>
        <a:stretch/>
      </xdr:blipFill>
      <xdr:spPr bwMode="auto">
        <a:xfrm>
          <a:off x="781050" y="20116262"/>
          <a:ext cx="289559" cy="351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xdr:from>
          <xdr:col>13</xdr:col>
          <xdr:colOff>617220</xdr:colOff>
          <xdr:row>3</xdr:row>
          <xdr:rowOff>0</xdr:rowOff>
        </xdr:from>
        <xdr:to>
          <xdr:col>13</xdr:col>
          <xdr:colOff>861060</xdr:colOff>
          <xdr:row>5</xdr:row>
          <xdr:rowOff>0</xdr:rowOff>
        </xdr:to>
        <xdr:sp macro="" textlink="">
          <xdr:nvSpPr>
            <xdr:cNvPr id="110593" name="Spinner 1" hidden="1">
              <a:extLst>
                <a:ext uri="{63B3BB69-23CF-44E3-9099-C40C66FF867C}">
                  <a14:compatExt spid="_x0000_s110593"/>
                </a:ext>
                <a:ext uri="{FF2B5EF4-FFF2-40B4-BE49-F238E27FC236}">
                  <a16:creationId xmlns:a16="http://schemas.microsoft.com/office/drawing/2014/main" id="{00000000-0008-0000-0B00-000001B0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_Inventaires%20d'&#233;missions,%20prospective%20et%20&#233;valuation/42_Prospective/421_Sc&#233;narios%20prospectifs%20DGEC/4215_Sc&#233;narios%202023/31-outputs/Communication/Partage%20hypoth&#232;ses/partage_hypoth&#232;ses_AME%20-%20vAgri+b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d'utilisation et FAQ"/>
      <sheetName val="&gt;&gt;&gt; Hypothèses sectorielles"/>
      <sheetName val="Industrie"/>
      <sheetName val="Agriculture"/>
      <sheetName val="Energie"/>
      <sheetName val="Transports"/>
      <sheetName val="Déchets"/>
      <sheetName val="Bâtiments"/>
      <sheetName val="UTCATF"/>
      <sheetName val="Numérique"/>
      <sheetName val="Outre-mer"/>
      <sheetName val="&gt;&gt;&gt; Hypothèses transversales"/>
      <sheetName val="Cibles"/>
      <sheetName val="Cadrage"/>
      <sheetName val="Politiques et mesures"/>
      <sheetName val="&gt;&gt;&gt; Résultats Energie"/>
      <sheetName val="Bilans"/>
      <sheetName val="Biomasse"/>
      <sheetName val="Electricité"/>
      <sheetName val="&gt;&gt;&gt; Résultats GES"/>
      <sheetName val="Budgets carbone"/>
      <sheetName val="GES"/>
      <sheetName val="Résultats détaillés CH4"/>
      <sheetName val="Données d'activité"/>
      <sheetName val="Résultats détaillés N2O"/>
      <sheetName val="Résultats détaillés Gaz F"/>
      <sheetName val="&gt;&gt;&gt; INTERNE DGEC"/>
      <sheetName val="Matrice de passage commission"/>
      <sheetName val="Moteur"/>
      <sheetName val="Matrice de passage AIE"/>
    </sheetNames>
    <sheetDataSet>
      <sheetData sheetId="0"/>
      <sheetData sheetId="1"/>
      <sheetData sheetId="2"/>
      <sheetData sheetId="3">
        <row r="21">
          <cell r="F21" t="str">
            <v>2019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0000000}" name="Consommation_IGCE14" displayName="Consommation_IGCE14" ref="E21:L24" totalsRowShown="0" headerRowDxfId="388" dataDxfId="386" headerRowBorderDxfId="387" tableBorderDxfId="385" totalsRowBorderDxfId="384">
  <autoFilter ref="E21:L24"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Population (millions)" dataDxfId="383"/>
    <tableColumn id="2" xr3:uid="{00000000-0010-0000-0000-000002000000}" name="2021" dataDxfId="382"/>
    <tableColumn id="3" xr3:uid="{00000000-0010-0000-0000-000003000000}" name="2025" dataDxfId="381"/>
    <tableColumn id="4" xr3:uid="{00000000-0010-0000-0000-000004000000}" name="2030" dataDxfId="380"/>
    <tableColumn id="5" xr3:uid="{00000000-0010-0000-0000-000005000000}" name="2035" dataDxfId="379"/>
    <tableColumn id="6" xr3:uid="{00000000-0010-0000-0000-000006000000}" name="2040" dataDxfId="378"/>
    <tableColumn id="7" xr3:uid="{00000000-0010-0000-0000-000007000000}" name="2045" dataDxfId="377"/>
    <tableColumn id="8" xr3:uid="{00000000-0010-0000-0000-000008000000}" name="2050" dataDxfId="37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Consommation_IGCE5789" displayName="Consommation_IGCE5789" ref="E15:L25" totalsRowShown="0" headerRowDxfId="266" dataDxfId="264" headerRowBorderDxfId="265" tableBorderDxfId="263" totalsRowBorderDxfId="262">
  <autoFilter ref="E15:L25"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900-000001000000}" name="Hypothèse" dataDxfId="261"/>
    <tableColumn id="2" xr3:uid="{00000000-0010-0000-0900-000002000000}" name="2020" dataDxfId="260"/>
    <tableColumn id="3" xr3:uid="{00000000-0010-0000-0900-000003000000}" name="2025" dataDxfId="259"/>
    <tableColumn id="4" xr3:uid="{00000000-0010-0000-0900-000004000000}" name="2030" dataDxfId="258"/>
    <tableColumn id="5" xr3:uid="{00000000-0010-0000-0900-000005000000}" name="2035" dataDxfId="257"/>
    <tableColumn id="6" xr3:uid="{00000000-0010-0000-0900-000006000000}" name="2040" dataDxfId="256"/>
    <tableColumn id="7" xr3:uid="{00000000-0010-0000-0900-000007000000}" name="2045" dataDxfId="255"/>
    <tableColumn id="8" xr3:uid="{00000000-0010-0000-0900-000008000000}" name="2050" dataDxfId="25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Consommation_IGCE578917" displayName="Consommation_IGCE578917" ref="E29:L38" totalsRowShown="0" headerRowDxfId="253" dataDxfId="251" headerRowBorderDxfId="252" tableBorderDxfId="250" totalsRowBorderDxfId="249">
  <autoFilter ref="E29:L38"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A00-000001000000}" name="Hypothèse" dataDxfId="248"/>
    <tableColumn id="2" xr3:uid="{00000000-0010-0000-0A00-000002000000}" name="2015-2020" dataDxfId="247"/>
    <tableColumn id="3" xr3:uid="{00000000-0010-0000-0A00-000003000000}" name="-" dataDxfId="246"/>
    <tableColumn id="4" xr3:uid="{00000000-0010-0000-0A00-000004000000}" name="2020-2030" dataDxfId="245"/>
    <tableColumn id="5" xr3:uid="{00000000-0010-0000-0A00-000005000000}" name="/" dataDxfId="244"/>
    <tableColumn id="6" xr3:uid="{00000000-0010-0000-0A00-000006000000}" name="2030-2040" dataDxfId="243"/>
    <tableColumn id="7" xr3:uid="{00000000-0010-0000-0A00-000007000000}" name=" " dataDxfId="242"/>
    <tableColumn id="8" xr3:uid="{00000000-0010-0000-0A00-000008000000}" name="2040-2050" dataDxfId="24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Consommation_IGCE578" displayName="Consommation_IGCE578" ref="E16:L24" totalsRowShown="0" headerRowDxfId="240" dataDxfId="238" headerRowBorderDxfId="239" tableBorderDxfId="237" totalsRowBorderDxfId="236">
  <autoFilter ref="E16:L24"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B00-000001000000}" name="Mégatonne (Mt)" dataDxfId="235"/>
    <tableColumn id="2" xr3:uid="{00000000-0010-0000-0B00-000002000000}" name="2020" dataDxfId="234"/>
    <tableColumn id="3" xr3:uid="{00000000-0010-0000-0B00-000003000000}" name="2025" dataDxfId="233"/>
    <tableColumn id="4" xr3:uid="{00000000-0010-0000-0B00-000004000000}" name="2030" dataDxfId="232"/>
    <tableColumn id="5" xr3:uid="{00000000-0010-0000-0B00-000005000000}" name="2035" dataDxfId="231"/>
    <tableColumn id="6" xr3:uid="{00000000-0010-0000-0B00-000006000000}" name="2040" dataDxfId="230"/>
    <tableColumn id="7" xr3:uid="{00000000-0010-0000-0B00-000007000000}" name="2045" dataDxfId="229"/>
    <tableColumn id="8" xr3:uid="{00000000-0010-0000-0B00-000008000000}" name="2050" dataDxfId="22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Consommation_IGCE57816" displayName="Consommation_IGCE57816" ref="E28:L32" totalsRowShown="0" headerRowDxfId="227" dataDxfId="225" headerRowBorderDxfId="226" tableBorderDxfId="224" totalsRowBorderDxfId="223">
  <autoFilter ref="E28:L32"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C00-000001000000}" name="Mégatonne (Mt)" dataDxfId="222"/>
    <tableColumn id="2" xr3:uid="{00000000-0010-0000-0C00-000002000000}" name="2020" dataDxfId="221"/>
    <tableColumn id="3" xr3:uid="{00000000-0010-0000-0C00-000003000000}" name="2025" dataDxfId="220"/>
    <tableColumn id="4" xr3:uid="{00000000-0010-0000-0C00-000004000000}" name="2030" dataDxfId="219"/>
    <tableColumn id="5" xr3:uid="{00000000-0010-0000-0C00-000005000000}" name="2035" dataDxfId="218"/>
    <tableColumn id="6" xr3:uid="{00000000-0010-0000-0C00-000006000000}" name="2040" dataDxfId="217"/>
    <tableColumn id="7" xr3:uid="{00000000-0010-0000-0C00-000007000000}" name="2045" dataDxfId="216"/>
    <tableColumn id="8" xr3:uid="{00000000-0010-0000-0C00-000008000000}" name="2050" dataDxfId="21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Consommation_IGCE5788" displayName="Consommation_IGCE5788" ref="E16:L18" totalsRowShown="0" headerRowDxfId="214" dataDxfId="212" headerRowBorderDxfId="213" tableBorderDxfId="211" totalsRowBorderDxfId="210">
  <autoFilter ref="E16:L18"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D00-000001000000}" name="MtCO2" dataDxfId="209"/>
    <tableColumn id="2" xr3:uid="{00000000-0010-0000-0D00-000002000000}" name="2020" dataDxfId="208"/>
    <tableColumn id="3" xr3:uid="{00000000-0010-0000-0D00-000003000000}" name="2025" dataDxfId="207"/>
    <tableColumn id="4" xr3:uid="{00000000-0010-0000-0D00-000004000000}" name="2030" dataDxfId="206"/>
    <tableColumn id="5" xr3:uid="{00000000-0010-0000-0D00-000005000000}" name="2035" dataDxfId="205"/>
    <tableColumn id="6" xr3:uid="{00000000-0010-0000-0D00-000006000000}" name="2040" dataDxfId="204"/>
    <tableColumn id="7" xr3:uid="{00000000-0010-0000-0D00-000007000000}" name="2045" dataDxfId="203"/>
    <tableColumn id="8" xr3:uid="{00000000-0010-0000-0D00-000008000000}" name="2050" dataDxfId="20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Consommation_IGCE5781618" displayName="Consommation_IGCE5781618" ref="E22:L29" totalsRowShown="0" headerRowDxfId="201" dataDxfId="199" headerRowBorderDxfId="200" tableBorderDxfId="198" totalsRowBorderDxfId="197">
  <autoFilter ref="E22:L29"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E00-000001000000}" name="Mm^3" dataDxfId="196"/>
    <tableColumn id="2" xr3:uid="{00000000-0010-0000-0E00-000002000000}" name="2020" dataDxfId="195"/>
    <tableColumn id="3" xr3:uid="{00000000-0010-0000-0E00-000003000000}" name="2025" dataDxfId="194"/>
    <tableColumn id="4" xr3:uid="{00000000-0010-0000-0E00-000004000000}" name="2030" dataDxfId="193"/>
    <tableColumn id="5" xr3:uid="{00000000-0010-0000-0E00-000005000000}" name="2035" dataDxfId="192"/>
    <tableColumn id="6" xr3:uid="{00000000-0010-0000-0E00-000006000000}" name="2040" dataDxfId="191"/>
    <tableColumn id="7" xr3:uid="{00000000-0010-0000-0E00-000007000000}" name="2045" dataDxfId="190"/>
    <tableColumn id="8" xr3:uid="{00000000-0010-0000-0E00-000008000000}" name="2050" dataDxfId="189"/>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Consommation_IGCE578819" displayName="Consommation_IGCE578819" ref="E38:L40" totalsRowShown="0" headerRowDxfId="188" dataDxfId="186" headerRowBorderDxfId="187" tableBorderDxfId="185" totalsRowBorderDxfId="184">
  <autoFilter ref="E38:L40"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F00-000001000000}" name="kha/an" dataDxfId="183"/>
    <tableColumn id="2" xr3:uid="{00000000-0010-0000-0F00-000002000000}" name="2021" dataDxfId="182"/>
    <tableColumn id="3" xr3:uid="{00000000-0010-0000-0F00-000003000000}" name="2025" dataDxfId="181"/>
    <tableColumn id="4" xr3:uid="{00000000-0010-0000-0F00-000004000000}" name="2030" dataDxfId="180"/>
    <tableColumn id="5" xr3:uid="{00000000-0010-0000-0F00-000005000000}" name="2035" dataDxfId="179"/>
    <tableColumn id="6" xr3:uid="{00000000-0010-0000-0F00-000006000000}" name="2040" dataDxfId="178"/>
    <tableColumn id="7" xr3:uid="{00000000-0010-0000-0F00-000007000000}" name="2045" dataDxfId="177"/>
    <tableColumn id="8" xr3:uid="{00000000-0010-0000-0F00-000008000000}" name="2050" dataDxfId="176"/>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Consommation_IGCE57881921" displayName="Consommation_IGCE57881921" ref="E49:L51" totalsRowShown="0" headerRowDxfId="175" dataDxfId="173" headerRowBorderDxfId="174" tableBorderDxfId="172" totalsRowBorderDxfId="171">
  <autoFilter ref="E49:L51"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000-000001000000}" name="MtCO2" dataDxfId="170"/>
    <tableColumn id="2" xr3:uid="{00000000-0010-0000-1000-000002000000}" name="2020" dataDxfId="169"/>
    <tableColumn id="3" xr3:uid="{00000000-0010-0000-1000-000003000000}" name="2025" dataDxfId="168"/>
    <tableColumn id="4" xr3:uid="{00000000-0010-0000-1000-000004000000}" name="2030" dataDxfId="167"/>
    <tableColumn id="5" xr3:uid="{00000000-0010-0000-1000-000005000000}" name="2035" dataDxfId="166"/>
    <tableColumn id="6" xr3:uid="{00000000-0010-0000-1000-000006000000}" name="2040" dataDxfId="165"/>
    <tableColumn id="7" xr3:uid="{00000000-0010-0000-1000-000007000000}" name="2045" dataDxfId="164"/>
    <tableColumn id="8" xr3:uid="{00000000-0010-0000-1000-000008000000}" name="2050" dataDxfId="16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Consommation_IGCE578161820" displayName="Consommation_IGCE578161820" ref="E16:L21" totalsRowShown="0" headerRowDxfId="162" dataDxfId="160" headerRowBorderDxfId="161" tableBorderDxfId="159" totalsRowBorderDxfId="158">
  <autoFilter ref="E16:L21"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100-000001000000}" name="Mhab" dataDxfId="157"/>
    <tableColumn id="2" xr3:uid="{00000000-0010-0000-1100-000002000000}" name="2021" dataDxfId="156"/>
    <tableColumn id="3" xr3:uid="{00000000-0010-0000-1100-000003000000}" name="2025" dataDxfId="155"/>
    <tableColumn id="4" xr3:uid="{00000000-0010-0000-1100-000004000000}" name="2030" dataDxfId="154"/>
    <tableColumn id="5" xr3:uid="{00000000-0010-0000-1100-000005000000}" name="2035" dataDxfId="153"/>
    <tableColumn id="6" xr3:uid="{00000000-0010-0000-1100-000006000000}" name="2040" dataDxfId="152"/>
    <tableColumn id="7" xr3:uid="{00000000-0010-0000-1100-000007000000}" name="2045" dataDxfId="151"/>
    <tableColumn id="8" xr3:uid="{00000000-0010-0000-1100-000008000000}" name="2050" dataDxfId="150"/>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Consommation_IGCE57816182024" displayName="Consommation_IGCE57816182024" ref="E25:L30" totalsRowShown="0" headerRowDxfId="149" dataDxfId="147" headerRowBorderDxfId="148" tableBorderDxfId="146" totalsRowBorderDxfId="145">
  <autoFilter ref="E25:L30"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200-000001000000}" name="€/hab" dataDxfId="144"/>
    <tableColumn id="2" xr3:uid="{00000000-0010-0000-1200-000002000000}" name="2021" dataDxfId="143"/>
    <tableColumn id="3" xr3:uid="{00000000-0010-0000-1200-000003000000}" name="2025" dataDxfId="142"/>
    <tableColumn id="4" xr3:uid="{00000000-0010-0000-1200-000004000000}" name="2030" dataDxfId="141"/>
    <tableColumn id="5" xr3:uid="{00000000-0010-0000-1200-000005000000}" name="2035" dataDxfId="140"/>
    <tableColumn id="6" xr3:uid="{00000000-0010-0000-1200-000006000000}" name="2040" dataDxfId="139"/>
    <tableColumn id="7" xr3:uid="{00000000-0010-0000-1200-000007000000}" name="2045" dataDxfId="138"/>
    <tableColumn id="8" xr3:uid="{00000000-0010-0000-1200-000008000000}" name="2050" dataDxfId="13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1000000}" name="Production_IGCE15" displayName="Production_IGCE15" ref="E35:L36" totalsRowShown="0" headerRowDxfId="375" dataDxfId="373" headerRowBorderDxfId="374" tableBorderDxfId="372" totalsRowBorderDxfId="371">
  <autoFilter ref="E35:L36"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100-000001000000}" name="Evolution du PIB (index 2018)" dataDxfId="370"/>
    <tableColumn id="2" xr3:uid="{00000000-0010-0000-0100-000002000000}" name="2021" dataDxfId="369"/>
    <tableColumn id="3" xr3:uid="{00000000-0010-0000-0100-000003000000}" name="2025" dataDxfId="368"/>
    <tableColumn id="4" xr3:uid="{00000000-0010-0000-0100-000004000000}" name="2030" dataDxfId="367"/>
    <tableColumn id="5" xr3:uid="{00000000-0010-0000-0100-000005000000}" name="2035" dataDxfId="366"/>
    <tableColumn id="6" xr3:uid="{00000000-0010-0000-0100-000006000000}" name="2040" dataDxfId="365"/>
    <tableColumn id="7" xr3:uid="{00000000-0010-0000-0100-000007000000}" name="2045" dataDxfId="364"/>
    <tableColumn id="8" xr3:uid="{00000000-0010-0000-0100-000008000000}" name="2050" dataDxfId="36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Consommation_IGCE5781618202425" displayName="Consommation_IGCE5781618202425" ref="E36:L47" totalsRowShown="0" headerRowDxfId="136" dataDxfId="134" headerRowBorderDxfId="135" tableBorderDxfId="133" totalsRowBorderDxfId="132">
  <autoFilter ref="E36:L47"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300-000001000000}" name="%" dataDxfId="131"/>
    <tableColumn id="2" xr3:uid="{00000000-0010-0000-1300-000002000000}" name="2021" dataDxfId="130"/>
    <tableColumn id="3" xr3:uid="{00000000-0010-0000-1300-000003000000}" name="2025" dataDxfId="129"/>
    <tableColumn id="4" xr3:uid="{00000000-0010-0000-1300-000004000000}" name="2030" dataDxfId="128"/>
    <tableColumn id="5" xr3:uid="{00000000-0010-0000-1300-000005000000}" name="2035" dataDxfId="127"/>
    <tableColumn id="6" xr3:uid="{00000000-0010-0000-1300-000006000000}" name="2040" dataDxfId="126"/>
    <tableColumn id="7" xr3:uid="{00000000-0010-0000-1300-000007000000}" name="2045" dataDxfId="125"/>
    <tableColumn id="8" xr3:uid="{00000000-0010-0000-1300-000008000000}" name="2050" dataDxfId="124"/>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Consommation_IGCE578161820242526" displayName="Consommation_IGCE578161820242526" ref="E51:L62" totalsRowShown="0" headerRowDxfId="123" dataDxfId="121" headerRowBorderDxfId="122" tableBorderDxfId="120" totalsRowBorderDxfId="119">
  <autoFilter ref="E51:L62"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400-000001000000}" name="%" dataDxfId="118"/>
    <tableColumn id="2" xr3:uid="{00000000-0010-0000-1400-000002000000}" name="2021" dataDxfId="117"/>
    <tableColumn id="3" xr3:uid="{00000000-0010-0000-1400-000003000000}" name="2025" dataDxfId="116"/>
    <tableColumn id="4" xr3:uid="{00000000-0010-0000-1400-000004000000}" name="2030" dataDxfId="115"/>
    <tableColumn id="5" xr3:uid="{00000000-0010-0000-1400-000005000000}" name="2035" dataDxfId="114"/>
    <tableColumn id="6" xr3:uid="{00000000-0010-0000-1400-000006000000}" name="2040" dataDxfId="113"/>
    <tableColumn id="7" xr3:uid="{00000000-0010-0000-1400-000007000000}" name="2045" dataDxfId="112"/>
    <tableColumn id="8" xr3:uid="{00000000-0010-0000-1400-000008000000}" name="2050" dataDxfId="111"/>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Consommation_IGCE57816182024252627" displayName="Consommation_IGCE57816182024252627" ref="E66:L77" totalsRowShown="0" headerRowDxfId="110" dataDxfId="108" headerRowBorderDxfId="109" tableBorderDxfId="107" totalsRowBorderDxfId="106">
  <autoFilter ref="E66:L77"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500-000001000000}" name="%" dataDxfId="105"/>
    <tableColumn id="2" xr3:uid="{00000000-0010-0000-1500-000002000000}" name="2021" dataDxfId="104"/>
    <tableColumn id="3" xr3:uid="{00000000-0010-0000-1500-000003000000}" name="2025" dataDxfId="103"/>
    <tableColumn id="4" xr3:uid="{00000000-0010-0000-1500-000004000000}" name="2030" dataDxfId="102"/>
    <tableColumn id="5" xr3:uid="{00000000-0010-0000-1500-000005000000}" name="2035" dataDxfId="101"/>
    <tableColumn id="6" xr3:uid="{00000000-0010-0000-1500-000006000000}" name="2040" dataDxfId="100"/>
    <tableColumn id="7" xr3:uid="{00000000-0010-0000-1500-000007000000}" name="2045" dataDxfId="99"/>
    <tableColumn id="8" xr3:uid="{00000000-0010-0000-1500-000008000000}" name="2050" dataDxfId="98"/>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6000000}" name="Consommation_IGCE57816182024252628" displayName="Consommation_IGCE57816182024252628" ref="E81:L92" totalsRowShown="0" headerRowDxfId="97" dataDxfId="95" headerRowBorderDxfId="96" tableBorderDxfId="94" totalsRowBorderDxfId="93">
  <autoFilter ref="E81:L92"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600-000001000000}" name="%" dataDxfId="92"/>
    <tableColumn id="2" xr3:uid="{00000000-0010-0000-1600-000002000000}" name="2021" dataDxfId="91"/>
    <tableColumn id="3" xr3:uid="{00000000-0010-0000-1600-000003000000}" name="2025" dataDxfId="90"/>
    <tableColumn id="4" xr3:uid="{00000000-0010-0000-1600-000004000000}" name="2030" dataDxfId="89"/>
    <tableColumn id="5" xr3:uid="{00000000-0010-0000-1600-000005000000}" name="2035" dataDxfId="88"/>
    <tableColumn id="6" xr3:uid="{00000000-0010-0000-1600-000006000000}" name="2040" dataDxfId="87"/>
    <tableColumn id="7" xr3:uid="{00000000-0010-0000-1600-000007000000}" name="2045" dataDxfId="86"/>
    <tableColumn id="8" xr3:uid="{00000000-0010-0000-1600-000008000000}" name="2050" dataDxfId="85"/>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Consommation_IGCE5781618202425262829" displayName="Consommation_IGCE5781618202425262829" ref="E96:L107" totalsRowShown="0" headerRowDxfId="84" dataDxfId="82" headerRowBorderDxfId="83" tableBorderDxfId="81" totalsRowBorderDxfId="80">
  <autoFilter ref="E96:L107"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700-000001000000}" name="%" dataDxfId="79"/>
    <tableColumn id="2" xr3:uid="{00000000-0010-0000-1700-000002000000}" name="2021" dataDxfId="78"/>
    <tableColumn id="3" xr3:uid="{00000000-0010-0000-1700-000003000000}" name="2025" dataDxfId="77"/>
    <tableColumn id="4" xr3:uid="{00000000-0010-0000-1700-000004000000}" name="2030" dataDxfId="76"/>
    <tableColumn id="5" xr3:uid="{00000000-0010-0000-1700-000005000000}" name="2035" dataDxfId="75"/>
    <tableColumn id="6" xr3:uid="{00000000-0010-0000-1700-000006000000}" name="2040" dataDxfId="74"/>
    <tableColumn id="7" xr3:uid="{00000000-0010-0000-1700-000007000000}" name="2045" dataDxfId="73"/>
    <tableColumn id="8" xr3:uid="{00000000-0010-0000-1700-000008000000}" name="2050" dataDxfId="7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onsommation_IGCE" displayName="Consommation_IGCE" ref="E18:L28" totalsRowShown="0" headerRowDxfId="358" dataDxfId="356" headerRowBorderDxfId="357" tableBorderDxfId="355" totalsRowBorderDxfId="354">
  <autoFilter ref="E18:L2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200-000001000000}" name="Mégatonne (Mt)" dataDxfId="353"/>
    <tableColumn id="2" xr3:uid="{00000000-0010-0000-0200-000002000000}" name="2021" dataDxfId="352"/>
    <tableColumn id="3" xr3:uid="{00000000-0010-0000-0200-000003000000}" name="2025" dataDxfId="351"/>
    <tableColumn id="4" xr3:uid="{00000000-0010-0000-0200-000004000000}" name="2030" dataDxfId="350"/>
    <tableColumn id="5" xr3:uid="{00000000-0010-0000-0200-000005000000}" name="2035" dataDxfId="349"/>
    <tableColumn id="6" xr3:uid="{00000000-0010-0000-0200-000006000000}" name="2040" dataDxfId="348"/>
    <tableColumn id="7" xr3:uid="{00000000-0010-0000-0200-000007000000}" name="2045" dataDxfId="347"/>
    <tableColumn id="8" xr3:uid="{00000000-0010-0000-0200-000008000000}" name="2050" dataDxfId="34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Production_IGCE" displayName="Production_IGCE" ref="E39:L53" totalsRowShown="0" headerRowDxfId="345" dataDxfId="343" headerRowBorderDxfId="344" tableBorderDxfId="342" totalsRowBorderDxfId="341">
  <autoFilter ref="E39:L53"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300-000001000000}" name="Mégatonne (Mt)" dataDxfId="340"/>
    <tableColumn id="2" xr3:uid="{00000000-0010-0000-0300-000002000000}" name="2021" dataDxfId="339"/>
    <tableColumn id="3" xr3:uid="{00000000-0010-0000-0300-000003000000}" name="2025" dataDxfId="338"/>
    <tableColumn id="4" xr3:uid="{00000000-0010-0000-0300-000004000000}" name="2030" dataDxfId="337"/>
    <tableColumn id="5" xr3:uid="{00000000-0010-0000-0300-000005000000}" name="2035" dataDxfId="336"/>
    <tableColumn id="6" xr3:uid="{00000000-0010-0000-0300-000006000000}" name="2040" dataDxfId="335"/>
    <tableColumn id="7" xr3:uid="{00000000-0010-0000-0300-000007000000}" name="2045" dataDxfId="334"/>
    <tableColumn id="8" xr3:uid="{00000000-0010-0000-0300-000008000000}" name="2050" dataDxfId="33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Consommation_IGCE5" displayName="Consommation_IGCE5" ref="E18:L35" totalsRowShown="0" headerRowDxfId="332" dataDxfId="330" headerRowBorderDxfId="331" tableBorderDxfId="329" totalsRowBorderDxfId="328">
  <autoFilter ref="E18:L3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400-000001000000}" name="gramme/personne/jour" dataDxfId="327"/>
    <tableColumn id="2" xr3:uid="{00000000-0010-0000-0400-000002000000}" name="2020" dataDxfId="326"/>
    <tableColumn id="3" xr3:uid="{00000000-0010-0000-0400-000003000000}" name="2025" dataDxfId="325"/>
    <tableColumn id="4" xr3:uid="{00000000-0010-0000-0400-000004000000}" name="2030" dataDxfId="324"/>
    <tableColumn id="5" xr3:uid="{00000000-0010-0000-0400-000005000000}" name="2035" dataDxfId="323"/>
    <tableColumn id="6" xr3:uid="{00000000-0010-0000-0400-000006000000}" name="2040" dataDxfId="322"/>
    <tableColumn id="7" xr3:uid="{00000000-0010-0000-0400-000007000000}" name="2045" dataDxfId="321"/>
    <tableColumn id="8" xr3:uid="{00000000-0010-0000-0400-000008000000}" name="2050" dataDxfId="3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Consommation_IGCE54" displayName="Consommation_IGCE54" ref="E39:L56" totalsRowShown="0" headerRowDxfId="319" dataDxfId="317" headerRowBorderDxfId="318" tableBorderDxfId="316" totalsRowBorderDxfId="315">
  <autoFilter ref="E39:L56"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500-000001000000}" name="gramme/personne/jour" dataDxfId="314"/>
    <tableColumn id="2" xr3:uid="{00000000-0010-0000-0500-000002000000}" name="2020" dataDxfId="313"/>
    <tableColumn id="3" xr3:uid="{00000000-0010-0000-0500-000003000000}" name="2025" dataDxfId="312"/>
    <tableColumn id="4" xr3:uid="{00000000-0010-0000-0500-000004000000}" name="2030" dataDxfId="311"/>
    <tableColumn id="5" xr3:uid="{00000000-0010-0000-0500-000005000000}" name="2035" dataDxfId="310"/>
    <tableColumn id="6" xr3:uid="{00000000-0010-0000-0500-000006000000}" name="2040" dataDxfId="309"/>
    <tableColumn id="7" xr3:uid="{00000000-0010-0000-0500-000007000000}" name="2045" dataDxfId="308"/>
    <tableColumn id="8" xr3:uid="{00000000-0010-0000-0500-000008000000}" name="2050" dataDxfId="30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Consommation_IGCE5412" displayName="Consommation_IGCE5412" ref="E60:L77" totalsRowShown="0" headerRowDxfId="306" dataDxfId="304" headerRowBorderDxfId="305" tableBorderDxfId="303" totalsRowBorderDxfId="302">
  <autoFilter ref="E60:L77"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600-000001000000}" name="gramme/personne/jour" dataDxfId="301"/>
    <tableColumn id="2" xr3:uid="{00000000-0010-0000-0600-000002000000}" name="2020" dataDxfId="300"/>
    <tableColumn id="3" xr3:uid="{00000000-0010-0000-0600-000003000000}" name="2025" dataDxfId="299"/>
    <tableColumn id="4" xr3:uid="{00000000-0010-0000-0600-000004000000}" name="2030" dataDxfId="298"/>
    <tableColumn id="5" xr3:uid="{00000000-0010-0000-0600-000005000000}" name="2035" dataDxfId="297"/>
    <tableColumn id="6" xr3:uid="{00000000-0010-0000-0600-000006000000}" name="2040" dataDxfId="296"/>
    <tableColumn id="7" xr3:uid="{00000000-0010-0000-0600-000007000000}" name="2045" dataDxfId="295"/>
    <tableColumn id="8" xr3:uid="{00000000-0010-0000-0600-000008000000}" name="2050" dataDxfId="29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Consommation_IGCE57" displayName="Consommation_IGCE57" ref="E24:L28" totalsRowShown="0" headerRowDxfId="292" dataDxfId="290" headerRowBorderDxfId="291" tableBorderDxfId="289" totalsRowBorderDxfId="288">
  <autoFilter ref="E24:L28"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700-000001000000}" name="Millions de véhicules" dataDxfId="287"/>
    <tableColumn id="2" xr3:uid="{00000000-0010-0000-0700-000002000000}" name="2021" dataDxfId="286"/>
    <tableColumn id="3" xr3:uid="{00000000-0010-0000-0700-000003000000}" name="2025" dataDxfId="285"/>
    <tableColumn id="4" xr3:uid="{00000000-0010-0000-0700-000004000000}" name="2030" dataDxfId="284"/>
    <tableColumn id="5" xr3:uid="{00000000-0010-0000-0700-000005000000}" name="2035" dataDxfId="283"/>
    <tableColumn id="6" xr3:uid="{00000000-0010-0000-0700-000006000000}" name="2040" dataDxfId="282"/>
    <tableColumn id="7" xr3:uid="{00000000-0010-0000-0700-000007000000}" name="2045" dataDxfId="281"/>
    <tableColumn id="8" xr3:uid="{00000000-0010-0000-0700-000008000000}" name="2050" dataDxfId="28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Consommation_IGCE5712" displayName="Consommation_IGCE5712" ref="E16:L20" totalsRowShown="0" headerRowDxfId="279" dataDxfId="277" headerRowBorderDxfId="278" tableBorderDxfId="276" totalsRowBorderDxfId="275">
  <autoFilter ref="E16:L20"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800-000001000000}" name="Millions de véhicules" dataDxfId="274"/>
    <tableColumn id="2" xr3:uid="{00000000-0010-0000-0800-000002000000}" name="2021" dataDxfId="273"/>
    <tableColumn id="3" xr3:uid="{00000000-0010-0000-0800-000003000000}" name="2025" dataDxfId="272"/>
    <tableColumn id="4" xr3:uid="{00000000-0010-0000-0800-000004000000}" name="2030" dataDxfId="271"/>
    <tableColumn id="5" xr3:uid="{00000000-0010-0000-0800-000005000000}" name="2035" dataDxfId="270"/>
    <tableColumn id="6" xr3:uid="{00000000-0010-0000-0800-000006000000}" name="2040" dataDxfId="269"/>
    <tableColumn id="7" xr3:uid="{00000000-0010-0000-0800-000007000000}" name="2045" dataDxfId="268"/>
    <tableColumn id="8" xr3:uid="{00000000-0010-0000-0800-000008000000}" name="2050" dataDxfId="267"/>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table" Target="../tables/table13.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12.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17.xml"/><Relationship Id="rId3" Type="http://schemas.openxmlformats.org/officeDocument/2006/relationships/vmlDrawing" Target="../drawings/vmlDrawing8.vml"/><Relationship Id="rId7" Type="http://schemas.openxmlformats.org/officeDocument/2006/relationships/table" Target="../tables/table16.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21.xml"/><Relationship Id="rId3" Type="http://schemas.openxmlformats.org/officeDocument/2006/relationships/vmlDrawing" Target="../drawings/vmlDrawing9.vml"/><Relationship Id="rId7" Type="http://schemas.openxmlformats.org/officeDocument/2006/relationships/table" Target="../tables/table2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table" Target="../tables/table19.xml"/><Relationship Id="rId11" Type="http://schemas.openxmlformats.org/officeDocument/2006/relationships/table" Target="../tables/table24.xml"/><Relationship Id="rId5" Type="http://schemas.openxmlformats.org/officeDocument/2006/relationships/table" Target="../tables/table18.xml"/><Relationship Id="rId10" Type="http://schemas.openxmlformats.org/officeDocument/2006/relationships/table" Target="../tables/table23.xml"/><Relationship Id="rId4" Type="http://schemas.openxmlformats.org/officeDocument/2006/relationships/ctrlProp" Target="../ctrlProps/ctrlProp16.xml"/><Relationship Id="rId9" Type="http://schemas.openxmlformats.org/officeDocument/2006/relationships/table" Target="../tables/table2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statistiques.developpement-durable.gouv.fr/sites/default/files/2022-01/methodologie_bilan_energie_france.pdf" TargetMode="External"/><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vmlDrawing" Target="../drawings/vmlDrawing3.vml"/><Relationship Id="rId7"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table" Target="../tables/table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8.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table" Target="../tables/table11.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0.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0" tint="-0.249977111117893"/>
  </sheetPr>
  <dimension ref="A1:O246"/>
  <sheetViews>
    <sheetView workbookViewId="0">
      <selection activeCell="I5" sqref="I5"/>
    </sheetView>
  </sheetViews>
  <sheetFormatPr baseColWidth="10" defaultColWidth="11.5546875" defaultRowHeight="14.4"/>
  <cols>
    <col min="1" max="1" width="11.5546875" style="1"/>
    <col min="2" max="2" width="23.33203125" style="1" customWidth="1"/>
    <col min="3" max="5" width="11.5546875" style="1"/>
    <col min="6" max="6" width="87.5546875" style="1" customWidth="1"/>
    <col min="7" max="16384" width="11.5546875" style="1"/>
  </cols>
  <sheetData>
    <row r="1" spans="1:15">
      <c r="A1" s="95"/>
      <c r="B1" s="95"/>
      <c r="C1" s="95"/>
      <c r="D1" s="95"/>
      <c r="E1" s="95"/>
      <c r="F1" s="95"/>
      <c r="G1" s="95"/>
      <c r="H1" s="89"/>
      <c r="I1" s="89"/>
      <c r="J1" s="89"/>
      <c r="K1" s="89"/>
      <c r="L1" s="89"/>
      <c r="M1" s="89"/>
      <c r="N1" s="89"/>
      <c r="O1" s="89"/>
    </row>
    <row r="2" spans="1:15">
      <c r="A2" s="95"/>
      <c r="B2" s="95"/>
      <c r="C2" s="95"/>
      <c r="D2" s="95"/>
      <c r="E2" s="95"/>
      <c r="F2" s="95"/>
      <c r="G2" s="95"/>
      <c r="H2" s="89"/>
      <c r="I2" s="89"/>
      <c r="J2" s="89"/>
      <c r="K2" s="89"/>
      <c r="L2" s="89"/>
      <c r="M2" s="89"/>
      <c r="N2" s="89"/>
      <c r="O2" s="89"/>
    </row>
    <row r="3" spans="1:15" ht="48.6" customHeight="1">
      <c r="A3" s="95"/>
      <c r="B3" s="608" t="s">
        <v>1079</v>
      </c>
      <c r="C3" s="608"/>
      <c r="D3" s="608"/>
      <c r="E3" s="608"/>
      <c r="F3" s="608"/>
      <c r="G3" s="95"/>
      <c r="H3" s="89"/>
      <c r="I3" s="89"/>
      <c r="J3" s="89"/>
      <c r="K3" s="89"/>
      <c r="L3" s="89"/>
      <c r="M3" s="89"/>
      <c r="N3" s="89"/>
      <c r="O3" s="89"/>
    </row>
    <row r="4" spans="1:15">
      <c r="A4" s="95"/>
      <c r="B4" s="95"/>
      <c r="C4" s="95"/>
      <c r="D4" s="95"/>
      <c r="E4" s="95"/>
      <c r="F4" s="95"/>
      <c r="G4" s="95"/>
      <c r="H4" s="89"/>
      <c r="I4" s="89"/>
      <c r="J4" s="89"/>
      <c r="K4" s="89"/>
      <c r="L4" s="89"/>
      <c r="M4" s="89"/>
      <c r="N4" s="89"/>
      <c r="O4" s="89"/>
    </row>
    <row r="5" spans="1:15">
      <c r="A5" s="95"/>
      <c r="B5" s="95"/>
      <c r="C5" s="95"/>
      <c r="D5" s="95"/>
      <c r="E5" s="95"/>
      <c r="F5" s="95"/>
      <c r="G5" s="95"/>
      <c r="H5" s="89"/>
      <c r="I5" s="89"/>
      <c r="J5" s="89"/>
      <c r="K5" s="89"/>
      <c r="L5" s="89"/>
      <c r="M5" s="89"/>
      <c r="N5" s="89"/>
      <c r="O5" s="89"/>
    </row>
    <row r="6" spans="1:15">
      <c r="A6" s="95"/>
      <c r="B6" s="95"/>
      <c r="C6" s="95"/>
      <c r="D6" s="95"/>
      <c r="E6" s="95"/>
      <c r="F6" s="95"/>
      <c r="G6" s="95"/>
      <c r="H6" s="89"/>
      <c r="I6" s="89"/>
      <c r="J6" s="89"/>
      <c r="K6" s="89"/>
      <c r="L6" s="89"/>
      <c r="M6" s="89"/>
      <c r="N6" s="89"/>
      <c r="O6" s="89"/>
    </row>
    <row r="7" spans="1:15" ht="40.950000000000003" customHeight="1">
      <c r="A7" s="95"/>
      <c r="B7" s="609" t="s">
        <v>858</v>
      </c>
      <c r="C7" s="609"/>
      <c r="D7" s="609"/>
      <c r="E7" s="609"/>
      <c r="F7" s="609"/>
      <c r="G7" s="95"/>
      <c r="H7" s="89"/>
      <c r="I7" s="89"/>
      <c r="J7" s="89"/>
      <c r="K7" s="89"/>
      <c r="L7" s="89"/>
      <c r="M7" s="89"/>
      <c r="N7" s="89"/>
      <c r="O7" s="89"/>
    </row>
    <row r="8" spans="1:15">
      <c r="A8" s="95"/>
      <c r="B8" s="95"/>
      <c r="C8" s="95"/>
      <c r="D8" s="95"/>
      <c r="E8" s="95"/>
      <c r="F8" s="95"/>
      <c r="G8" s="95"/>
      <c r="H8" s="89"/>
      <c r="I8" s="89"/>
      <c r="J8" s="89"/>
      <c r="K8" s="89"/>
      <c r="L8" s="89"/>
      <c r="M8" s="89"/>
      <c r="N8" s="89"/>
      <c r="O8" s="89"/>
    </row>
    <row r="9" spans="1:15" ht="129.6" customHeight="1">
      <c r="A9" s="95"/>
      <c r="B9" s="96" t="s">
        <v>181</v>
      </c>
      <c r="C9" s="607" t="s">
        <v>976</v>
      </c>
      <c r="D9" s="607"/>
      <c r="E9" s="607"/>
      <c r="F9" s="607"/>
      <c r="G9" s="95"/>
      <c r="H9" s="89"/>
      <c r="I9" s="89"/>
      <c r="J9" s="89"/>
      <c r="K9" s="89"/>
      <c r="L9" s="89"/>
      <c r="M9" s="89"/>
      <c r="N9" s="89"/>
      <c r="O9" s="89"/>
    </row>
    <row r="10" spans="1:15" ht="129.6" customHeight="1">
      <c r="A10" s="95"/>
      <c r="B10" s="377" t="s">
        <v>137</v>
      </c>
      <c r="C10" s="607" t="s">
        <v>815</v>
      </c>
      <c r="D10" s="607"/>
      <c r="E10" s="607"/>
      <c r="F10" s="607"/>
      <c r="G10" s="95"/>
      <c r="H10" s="89"/>
      <c r="I10" s="89"/>
      <c r="J10" s="89"/>
      <c r="K10" s="89"/>
      <c r="L10" s="89"/>
      <c r="M10" s="89"/>
      <c r="N10" s="89"/>
      <c r="O10" s="89"/>
    </row>
    <row r="11" spans="1:15" ht="13.2" customHeight="1">
      <c r="A11" s="95"/>
      <c r="B11" s="89"/>
      <c r="C11" s="89"/>
      <c r="D11" s="89"/>
      <c r="E11" s="89"/>
      <c r="F11" s="89"/>
      <c r="G11" s="95"/>
      <c r="H11" s="89"/>
      <c r="I11" s="89"/>
      <c r="J11" s="89"/>
      <c r="K11" s="89"/>
      <c r="L11" s="89"/>
      <c r="M11" s="89"/>
      <c r="N11" s="89"/>
      <c r="O11" s="89"/>
    </row>
    <row r="12" spans="1:15" ht="46.2" customHeight="1">
      <c r="A12" s="95"/>
      <c r="B12" s="609" t="s">
        <v>859</v>
      </c>
      <c r="C12" s="609"/>
      <c r="D12" s="609"/>
      <c r="E12" s="609"/>
      <c r="F12" s="609"/>
      <c r="G12" s="95"/>
      <c r="H12" s="89"/>
      <c r="I12" s="89"/>
      <c r="J12" s="89"/>
      <c r="K12" s="89"/>
      <c r="L12" s="89"/>
      <c r="M12" s="89"/>
      <c r="N12" s="89"/>
      <c r="O12" s="89"/>
    </row>
    <row r="13" spans="1:15" ht="15.6" customHeight="1">
      <c r="A13" s="95"/>
      <c r="B13" s="89"/>
      <c r="C13" s="89"/>
      <c r="D13" s="89"/>
      <c r="E13" s="89"/>
      <c r="F13" s="89"/>
      <c r="G13" s="95"/>
      <c r="H13" s="89"/>
      <c r="I13" s="89"/>
      <c r="J13" s="89"/>
      <c r="K13" s="89"/>
      <c r="L13" s="89"/>
      <c r="M13" s="89"/>
      <c r="N13" s="89"/>
      <c r="O13" s="89"/>
    </row>
    <row r="14" spans="1:15" ht="126" customHeight="1">
      <c r="A14" s="95"/>
      <c r="B14" s="207" t="s">
        <v>816</v>
      </c>
      <c r="C14" s="607" t="s">
        <v>1080</v>
      </c>
      <c r="D14" s="607"/>
      <c r="E14" s="607"/>
      <c r="F14" s="607"/>
      <c r="G14" s="95"/>
      <c r="H14" s="89"/>
      <c r="I14" s="89"/>
      <c r="J14" s="89"/>
      <c r="K14" s="89"/>
      <c r="L14" s="89"/>
      <c r="M14" s="89"/>
      <c r="N14" s="89"/>
      <c r="O14" s="89"/>
    </row>
    <row r="15" spans="1:15" ht="100.95" customHeight="1">
      <c r="A15" s="95"/>
      <c r="B15" s="385" t="s">
        <v>860</v>
      </c>
      <c r="C15" s="607" t="s">
        <v>981</v>
      </c>
      <c r="D15" s="607"/>
      <c r="E15" s="607"/>
      <c r="F15" s="607"/>
      <c r="G15" s="95"/>
      <c r="H15" s="89"/>
      <c r="I15" s="89"/>
      <c r="J15" s="89"/>
      <c r="K15" s="89"/>
      <c r="L15" s="89"/>
      <c r="M15" s="89"/>
      <c r="N15" s="89"/>
      <c r="O15" s="89"/>
    </row>
    <row r="16" spans="1:15">
      <c r="A16" s="95"/>
      <c r="B16" s="95"/>
      <c r="C16" s="95"/>
      <c r="D16" s="95"/>
      <c r="E16" s="95"/>
      <c r="F16" s="95"/>
      <c r="G16" s="95"/>
      <c r="H16" s="89"/>
      <c r="I16" s="89"/>
      <c r="J16" s="89"/>
      <c r="K16" s="89"/>
      <c r="L16" s="89"/>
      <c r="M16" s="89"/>
      <c r="N16" s="89"/>
      <c r="O16" s="89"/>
    </row>
    <row r="17" spans="1:15">
      <c r="A17" s="95"/>
      <c r="B17" s="95"/>
      <c r="C17" s="95"/>
      <c r="D17" s="95"/>
      <c r="E17" s="95"/>
      <c r="F17" s="95"/>
      <c r="G17" s="95"/>
      <c r="H17" s="89"/>
      <c r="I17" s="89"/>
      <c r="J17" s="89"/>
      <c r="K17" s="89"/>
      <c r="L17" s="89"/>
      <c r="M17" s="89"/>
      <c r="N17" s="89"/>
      <c r="O17" s="89"/>
    </row>
    <row r="18" spans="1:15">
      <c r="A18" s="95"/>
      <c r="B18" s="95"/>
      <c r="C18" s="95"/>
      <c r="D18" s="95"/>
      <c r="E18" s="95"/>
      <c r="F18" s="95"/>
      <c r="G18" s="95"/>
      <c r="H18" s="89"/>
      <c r="I18" s="89"/>
      <c r="J18" s="89"/>
      <c r="K18" s="89"/>
      <c r="L18" s="89"/>
      <c r="M18" s="89"/>
      <c r="N18" s="89"/>
      <c r="O18" s="89"/>
    </row>
    <row r="19" spans="1:15">
      <c r="A19" s="95"/>
      <c r="B19" s="95"/>
      <c r="C19" s="95"/>
      <c r="D19" s="95"/>
      <c r="E19" s="95"/>
      <c r="F19" s="95"/>
      <c r="G19" s="95"/>
      <c r="H19" s="89"/>
      <c r="I19" s="89"/>
      <c r="J19" s="89"/>
      <c r="K19" s="89"/>
      <c r="L19" s="89"/>
      <c r="M19" s="89"/>
      <c r="N19" s="89"/>
      <c r="O19" s="89"/>
    </row>
    <row r="20" spans="1:15">
      <c r="A20" s="95"/>
      <c r="B20" s="95"/>
      <c r="C20" s="95"/>
      <c r="D20" s="95"/>
      <c r="E20" s="95"/>
      <c r="F20" s="95"/>
      <c r="G20" s="95"/>
      <c r="H20" s="89"/>
      <c r="I20" s="89"/>
      <c r="J20" s="89"/>
      <c r="K20" s="89"/>
      <c r="L20" s="89"/>
      <c r="M20" s="89"/>
      <c r="N20" s="89"/>
      <c r="O20" s="89"/>
    </row>
    <row r="21" spans="1:15">
      <c r="A21" s="95"/>
      <c r="B21" s="95"/>
      <c r="C21" s="95"/>
      <c r="D21" s="95"/>
      <c r="E21" s="95"/>
      <c r="F21" s="95"/>
      <c r="G21" s="95"/>
      <c r="H21" s="89"/>
      <c r="I21" s="89"/>
      <c r="J21" s="89"/>
      <c r="K21" s="89"/>
      <c r="L21" s="89"/>
      <c r="M21" s="89"/>
      <c r="N21" s="89"/>
      <c r="O21" s="89"/>
    </row>
    <row r="22" spans="1:15">
      <c r="A22" s="95"/>
      <c r="B22" s="95"/>
      <c r="C22" s="95"/>
      <c r="D22" s="95"/>
      <c r="E22" s="95"/>
      <c r="F22" s="95"/>
      <c r="G22" s="95"/>
      <c r="H22" s="89"/>
      <c r="I22" s="89"/>
      <c r="J22" s="89"/>
      <c r="K22" s="89"/>
      <c r="L22" s="89"/>
      <c r="M22" s="89"/>
      <c r="N22" s="89"/>
      <c r="O22" s="89"/>
    </row>
    <row r="23" spans="1:15">
      <c r="A23" s="95"/>
      <c r="B23" s="95"/>
      <c r="C23" s="95"/>
      <c r="D23" s="95"/>
      <c r="E23" s="95"/>
      <c r="F23" s="95"/>
      <c r="G23" s="95"/>
      <c r="H23" s="89"/>
      <c r="I23" s="89"/>
      <c r="J23" s="89"/>
      <c r="K23" s="89"/>
      <c r="L23" s="89"/>
      <c r="M23" s="89"/>
      <c r="N23" s="89"/>
      <c r="O23" s="89"/>
    </row>
    <row r="24" spans="1:15">
      <c r="A24" s="95"/>
      <c r="B24" s="95"/>
      <c r="C24" s="95"/>
      <c r="D24" s="95"/>
      <c r="E24" s="95"/>
      <c r="F24" s="95"/>
      <c r="G24" s="95"/>
      <c r="H24" s="89"/>
      <c r="I24" s="89"/>
      <c r="J24" s="89"/>
      <c r="K24" s="89"/>
      <c r="L24" s="89"/>
      <c r="M24" s="89"/>
      <c r="N24" s="89"/>
      <c r="O24" s="89"/>
    </row>
    <row r="25" spans="1:15">
      <c r="A25" s="95"/>
      <c r="B25" s="95"/>
      <c r="C25" s="95"/>
      <c r="D25" s="95"/>
      <c r="E25" s="95"/>
      <c r="F25" s="95"/>
      <c r="G25" s="95"/>
      <c r="H25" s="89"/>
      <c r="I25" s="89"/>
      <c r="J25" s="89"/>
      <c r="K25" s="89"/>
      <c r="L25" s="89"/>
      <c r="M25" s="89"/>
      <c r="N25" s="89"/>
      <c r="O25" s="89"/>
    </row>
    <row r="26" spans="1:15">
      <c r="A26" s="95"/>
      <c r="B26" s="95"/>
      <c r="C26" s="95"/>
      <c r="D26" s="95"/>
      <c r="E26" s="95"/>
      <c r="F26" s="95"/>
      <c r="G26" s="95"/>
      <c r="H26" s="89"/>
      <c r="I26" s="89"/>
      <c r="J26" s="89"/>
      <c r="K26" s="89"/>
      <c r="L26" s="89"/>
      <c r="M26" s="89"/>
      <c r="N26" s="89"/>
      <c r="O26" s="89"/>
    </row>
    <row r="27" spans="1:15">
      <c r="A27" s="95"/>
      <c r="B27" s="95"/>
      <c r="C27" s="95"/>
      <c r="D27" s="95"/>
      <c r="E27" s="95"/>
      <c r="F27" s="95"/>
      <c r="G27" s="95"/>
      <c r="H27" s="89"/>
      <c r="I27" s="89"/>
      <c r="J27" s="89"/>
      <c r="K27" s="89"/>
      <c r="L27" s="89"/>
      <c r="M27" s="89"/>
      <c r="N27" s="89"/>
      <c r="O27" s="89"/>
    </row>
    <row r="28" spans="1:15">
      <c r="A28" s="95"/>
      <c r="B28" s="95"/>
      <c r="C28" s="95"/>
      <c r="D28" s="95"/>
      <c r="E28" s="95"/>
      <c r="F28" s="95"/>
      <c r="G28" s="95"/>
      <c r="H28" s="89"/>
      <c r="I28" s="89"/>
      <c r="J28" s="89"/>
      <c r="K28" s="89"/>
      <c r="L28" s="89"/>
      <c r="M28" s="89"/>
      <c r="N28" s="89"/>
      <c r="O28" s="89"/>
    </row>
    <row r="29" spans="1:15">
      <c r="A29" s="95"/>
      <c r="B29" s="95"/>
      <c r="C29" s="95"/>
      <c r="D29" s="95"/>
      <c r="E29" s="95"/>
      <c r="F29" s="95"/>
      <c r="G29" s="95"/>
      <c r="H29" s="89"/>
      <c r="I29" s="89"/>
      <c r="J29" s="89"/>
      <c r="K29" s="89"/>
      <c r="L29" s="89"/>
      <c r="M29" s="89"/>
      <c r="N29" s="89"/>
      <c r="O29" s="89"/>
    </row>
    <row r="30" spans="1:15">
      <c r="A30" s="95"/>
      <c r="B30" s="95"/>
      <c r="C30" s="95"/>
      <c r="D30" s="95"/>
      <c r="E30" s="95"/>
      <c r="F30" s="95"/>
      <c r="G30" s="95"/>
      <c r="H30" s="89"/>
      <c r="I30" s="89"/>
      <c r="J30" s="89"/>
      <c r="K30" s="89"/>
      <c r="L30" s="89"/>
      <c r="M30" s="89"/>
      <c r="N30" s="89"/>
      <c r="O30" s="89"/>
    </row>
    <row r="31" spans="1:15">
      <c r="A31" s="95"/>
      <c r="B31" s="95"/>
      <c r="C31" s="95"/>
      <c r="D31" s="95"/>
      <c r="E31" s="95"/>
      <c r="F31" s="95"/>
      <c r="G31" s="95"/>
      <c r="H31" s="89"/>
      <c r="I31" s="89"/>
      <c r="J31" s="89"/>
      <c r="K31" s="89"/>
      <c r="L31" s="89"/>
      <c r="M31" s="89"/>
      <c r="N31" s="89"/>
      <c r="O31" s="89"/>
    </row>
    <row r="32" spans="1:15">
      <c r="A32" s="95"/>
      <c r="B32" s="95"/>
      <c r="C32" s="95"/>
      <c r="D32" s="95"/>
      <c r="E32" s="95"/>
      <c r="F32" s="95"/>
      <c r="G32" s="95"/>
      <c r="H32" s="89"/>
      <c r="I32" s="89"/>
      <c r="J32" s="89"/>
      <c r="K32" s="89"/>
      <c r="L32" s="89"/>
      <c r="M32" s="89"/>
      <c r="N32" s="89"/>
      <c r="O32" s="89"/>
    </row>
    <row r="33" spans="1:15">
      <c r="A33" s="95"/>
      <c r="B33" s="95"/>
      <c r="C33" s="95"/>
      <c r="D33" s="95"/>
      <c r="E33" s="95"/>
      <c r="F33" s="95"/>
      <c r="G33" s="95"/>
      <c r="H33" s="89"/>
      <c r="I33" s="89"/>
      <c r="J33" s="89"/>
      <c r="K33" s="89"/>
      <c r="L33" s="89"/>
      <c r="M33" s="89"/>
      <c r="N33" s="89"/>
      <c r="O33" s="89"/>
    </row>
    <row r="34" spans="1:15">
      <c r="A34" s="95"/>
      <c r="B34" s="95"/>
      <c r="C34" s="95"/>
      <c r="D34" s="95"/>
      <c r="E34" s="95"/>
      <c r="F34" s="95"/>
      <c r="G34" s="95"/>
      <c r="H34" s="89"/>
      <c r="I34" s="89"/>
      <c r="J34" s="89"/>
      <c r="K34" s="89"/>
      <c r="L34" s="89"/>
      <c r="M34" s="89"/>
      <c r="N34" s="89"/>
      <c r="O34" s="89"/>
    </row>
    <row r="35" spans="1:15">
      <c r="A35" s="95"/>
      <c r="B35" s="95"/>
      <c r="C35" s="95"/>
      <c r="D35" s="95"/>
      <c r="E35" s="95"/>
      <c r="F35" s="95"/>
      <c r="G35" s="95"/>
      <c r="H35" s="89"/>
      <c r="I35" s="89"/>
      <c r="J35" s="89"/>
      <c r="K35" s="89"/>
      <c r="L35" s="89"/>
      <c r="M35" s="89"/>
      <c r="N35" s="89"/>
      <c r="O35" s="89"/>
    </row>
    <row r="36" spans="1:15">
      <c r="A36" s="95"/>
      <c r="B36" s="95"/>
      <c r="C36" s="95"/>
      <c r="D36" s="95"/>
      <c r="E36" s="95"/>
      <c r="F36" s="95"/>
      <c r="G36" s="95"/>
      <c r="H36" s="89"/>
      <c r="I36" s="89"/>
      <c r="J36" s="89"/>
      <c r="K36" s="89"/>
      <c r="L36" s="89"/>
      <c r="M36" s="89"/>
      <c r="N36" s="89"/>
      <c r="O36" s="89"/>
    </row>
    <row r="37" spans="1:15">
      <c r="A37" s="95"/>
      <c r="B37" s="95"/>
      <c r="C37" s="95"/>
      <c r="D37" s="95"/>
      <c r="E37" s="95"/>
      <c r="F37" s="95"/>
      <c r="G37" s="95"/>
      <c r="H37" s="89"/>
      <c r="I37" s="89"/>
      <c r="J37" s="89"/>
      <c r="K37" s="89"/>
      <c r="L37" s="89"/>
      <c r="M37" s="89"/>
      <c r="N37" s="89"/>
      <c r="O37" s="89"/>
    </row>
    <row r="38" spans="1:15">
      <c r="A38" s="95"/>
      <c r="B38" s="95"/>
      <c r="C38" s="95"/>
      <c r="D38" s="95"/>
      <c r="E38" s="95"/>
      <c r="F38" s="95"/>
      <c r="G38" s="95"/>
      <c r="H38" s="89"/>
      <c r="I38" s="89"/>
      <c r="J38" s="89"/>
      <c r="K38" s="89"/>
      <c r="L38" s="89"/>
      <c r="M38" s="89"/>
      <c r="N38" s="89"/>
      <c r="O38" s="89"/>
    </row>
    <row r="39" spans="1:15">
      <c r="A39" s="95"/>
      <c r="B39" s="95"/>
      <c r="C39" s="95"/>
      <c r="D39" s="95"/>
      <c r="E39" s="95"/>
      <c r="F39" s="95"/>
      <c r="G39" s="95"/>
      <c r="H39" s="89"/>
      <c r="I39" s="89"/>
      <c r="J39" s="89"/>
      <c r="K39" s="89"/>
      <c r="L39" s="89"/>
      <c r="M39" s="89"/>
      <c r="N39" s="89"/>
      <c r="O39" s="89"/>
    </row>
    <row r="40" spans="1:15">
      <c r="A40" s="95"/>
      <c r="B40" s="95"/>
      <c r="C40" s="95"/>
      <c r="D40" s="95"/>
      <c r="E40" s="95"/>
      <c r="F40" s="95"/>
      <c r="G40" s="95"/>
      <c r="H40" s="89"/>
      <c r="I40" s="89"/>
      <c r="J40" s="89"/>
      <c r="K40" s="89"/>
      <c r="L40" s="89"/>
      <c r="M40" s="89"/>
      <c r="N40" s="89"/>
      <c r="O40" s="89"/>
    </row>
    <row r="41" spans="1:15">
      <c r="A41" s="95"/>
      <c r="B41" s="95"/>
      <c r="C41" s="95"/>
      <c r="D41" s="95"/>
      <c r="E41" s="95"/>
      <c r="F41" s="95"/>
      <c r="G41" s="95"/>
      <c r="H41" s="89"/>
      <c r="I41" s="89"/>
      <c r="J41" s="89"/>
      <c r="K41" s="89"/>
      <c r="L41" s="89"/>
      <c r="M41" s="89"/>
      <c r="N41" s="89"/>
      <c r="O41" s="89"/>
    </row>
    <row r="42" spans="1:15">
      <c r="A42" s="95"/>
      <c r="B42" s="95"/>
      <c r="C42" s="95"/>
      <c r="D42" s="95"/>
      <c r="E42" s="95"/>
      <c r="F42" s="95"/>
      <c r="G42" s="95"/>
      <c r="H42" s="89"/>
      <c r="I42" s="89"/>
      <c r="J42" s="89"/>
      <c r="K42" s="89"/>
      <c r="L42" s="89"/>
      <c r="M42" s="89"/>
      <c r="N42" s="89"/>
      <c r="O42" s="89"/>
    </row>
    <row r="43" spans="1:15">
      <c r="A43" s="95"/>
      <c r="B43" s="95"/>
      <c r="C43" s="95"/>
      <c r="D43" s="95"/>
      <c r="E43" s="95"/>
      <c r="F43" s="95"/>
      <c r="G43" s="95"/>
      <c r="H43" s="89"/>
      <c r="I43" s="89"/>
      <c r="J43" s="89"/>
      <c r="K43" s="89"/>
      <c r="L43" s="89"/>
      <c r="M43" s="89"/>
      <c r="N43" s="89"/>
      <c r="O43" s="89"/>
    </row>
    <row r="44" spans="1:15">
      <c r="A44" s="95"/>
      <c r="B44" s="95"/>
      <c r="C44" s="95"/>
      <c r="D44" s="95"/>
      <c r="E44" s="95"/>
      <c r="F44" s="95"/>
      <c r="G44" s="95"/>
      <c r="H44" s="89"/>
      <c r="I44" s="89"/>
      <c r="J44" s="89"/>
      <c r="K44" s="89"/>
      <c r="L44" s="89"/>
      <c r="M44" s="89"/>
      <c r="N44" s="89"/>
      <c r="O44" s="89"/>
    </row>
    <row r="45" spans="1:15">
      <c r="A45" s="95"/>
      <c r="B45" s="95"/>
      <c r="C45" s="95"/>
      <c r="D45" s="95"/>
      <c r="E45" s="95"/>
      <c r="F45" s="95"/>
      <c r="G45" s="95"/>
      <c r="H45" s="89"/>
      <c r="I45" s="89"/>
      <c r="J45" s="89"/>
      <c r="K45" s="89"/>
      <c r="L45" s="89"/>
      <c r="M45" s="89"/>
      <c r="N45" s="89"/>
      <c r="O45" s="89"/>
    </row>
    <row r="46" spans="1:15">
      <c r="A46" s="95"/>
      <c r="B46" s="95"/>
      <c r="C46" s="95"/>
      <c r="D46" s="95"/>
      <c r="E46" s="95"/>
      <c r="F46" s="95"/>
      <c r="G46" s="95"/>
      <c r="H46" s="89"/>
      <c r="I46" s="89"/>
      <c r="J46" s="89"/>
      <c r="K46" s="89"/>
      <c r="L46" s="89"/>
      <c r="M46" s="89"/>
      <c r="N46" s="89"/>
      <c r="O46" s="89"/>
    </row>
    <row r="47" spans="1:15">
      <c r="A47" s="95"/>
      <c r="B47" s="95"/>
      <c r="C47" s="95"/>
      <c r="D47" s="95"/>
      <c r="E47" s="95"/>
      <c r="F47" s="95"/>
      <c r="G47" s="95"/>
      <c r="H47" s="89"/>
      <c r="I47" s="89"/>
      <c r="J47" s="89"/>
      <c r="K47" s="89"/>
      <c r="L47" s="89"/>
      <c r="M47" s="89"/>
      <c r="N47" s="89"/>
      <c r="O47" s="89"/>
    </row>
    <row r="48" spans="1:15">
      <c r="A48" s="95"/>
      <c r="B48" s="95"/>
      <c r="C48" s="95"/>
      <c r="D48" s="95"/>
      <c r="E48" s="95"/>
      <c r="F48" s="95"/>
      <c r="G48" s="95"/>
      <c r="H48" s="89"/>
      <c r="I48" s="89"/>
      <c r="J48" s="89"/>
      <c r="K48" s="89"/>
      <c r="L48" s="89"/>
      <c r="M48" s="89"/>
      <c r="N48" s="89"/>
      <c r="O48" s="89"/>
    </row>
    <row r="49" spans="1:15">
      <c r="A49" s="95"/>
      <c r="B49" s="95"/>
      <c r="C49" s="95"/>
      <c r="D49" s="95"/>
      <c r="E49" s="95"/>
      <c r="F49" s="95"/>
      <c r="G49" s="95"/>
      <c r="H49" s="89"/>
      <c r="I49" s="89"/>
      <c r="J49" s="89"/>
      <c r="K49" s="89"/>
      <c r="L49" s="89"/>
      <c r="M49" s="89"/>
      <c r="N49" s="89"/>
      <c r="O49" s="89"/>
    </row>
    <row r="50" spans="1:15">
      <c r="A50" s="95"/>
      <c r="B50" s="95"/>
      <c r="C50" s="95"/>
      <c r="D50" s="95"/>
      <c r="E50" s="95"/>
      <c r="F50" s="95"/>
      <c r="G50" s="95"/>
      <c r="H50" s="89"/>
      <c r="I50" s="89"/>
      <c r="J50" s="89"/>
      <c r="K50" s="89"/>
      <c r="L50" s="89"/>
      <c r="M50" s="89"/>
      <c r="N50" s="89"/>
      <c r="O50" s="89"/>
    </row>
    <row r="51" spans="1:15">
      <c r="A51" s="95"/>
      <c r="B51" s="95"/>
      <c r="C51" s="95"/>
      <c r="D51" s="95"/>
      <c r="E51" s="95"/>
      <c r="F51" s="95"/>
      <c r="G51" s="376"/>
      <c r="H51" s="89"/>
      <c r="I51" s="89"/>
      <c r="J51" s="89"/>
      <c r="K51" s="89"/>
      <c r="L51" s="89"/>
      <c r="M51" s="89"/>
      <c r="N51" s="89"/>
      <c r="O51" s="89"/>
    </row>
    <row r="52" spans="1:15">
      <c r="A52" s="95"/>
      <c r="B52" s="95"/>
      <c r="C52" s="95"/>
      <c r="D52" s="95"/>
      <c r="E52" s="95"/>
      <c r="F52" s="95"/>
      <c r="G52" s="376"/>
      <c r="H52" s="89"/>
      <c r="I52" s="89"/>
      <c r="J52" s="89"/>
      <c r="K52" s="89"/>
      <c r="L52" s="89"/>
      <c r="M52" s="89"/>
      <c r="N52" s="89"/>
      <c r="O52" s="89"/>
    </row>
    <row r="53" spans="1:15">
      <c r="A53" s="95"/>
      <c r="B53" s="95"/>
      <c r="C53" s="95"/>
      <c r="D53" s="95"/>
      <c r="E53" s="95"/>
      <c r="F53" s="95"/>
      <c r="G53" s="376"/>
      <c r="H53" s="89"/>
      <c r="I53" s="89"/>
      <c r="J53" s="89"/>
      <c r="K53" s="89"/>
      <c r="L53" s="89"/>
      <c r="M53" s="89"/>
      <c r="N53" s="89"/>
      <c r="O53" s="89"/>
    </row>
    <row r="54" spans="1:15">
      <c r="A54" s="95"/>
      <c r="B54" s="95"/>
      <c r="C54" s="95"/>
      <c r="D54" s="95"/>
      <c r="E54" s="95"/>
      <c r="F54" s="95"/>
      <c r="G54" s="376"/>
      <c r="H54" s="89"/>
      <c r="I54" s="89"/>
      <c r="J54" s="89"/>
      <c r="K54" s="89"/>
      <c r="L54" s="89"/>
      <c r="M54" s="89"/>
      <c r="N54" s="89"/>
      <c r="O54" s="89"/>
    </row>
    <row r="55" spans="1:15">
      <c r="A55" s="95"/>
      <c r="B55" s="95"/>
      <c r="C55" s="95"/>
      <c r="D55" s="95"/>
      <c r="E55" s="95"/>
      <c r="F55" s="95"/>
      <c r="G55" s="376"/>
      <c r="H55" s="89"/>
      <c r="I55" s="89"/>
      <c r="J55" s="89"/>
      <c r="K55" s="89"/>
      <c r="L55" s="89"/>
      <c r="M55" s="89"/>
      <c r="N55" s="89"/>
      <c r="O55" s="89"/>
    </row>
    <row r="56" spans="1:15">
      <c r="A56" s="95"/>
      <c r="B56" s="95"/>
      <c r="C56" s="95"/>
      <c r="D56" s="95"/>
      <c r="E56" s="95"/>
      <c r="F56" s="95"/>
      <c r="G56" s="376"/>
      <c r="H56" s="89"/>
      <c r="I56" s="89"/>
      <c r="J56" s="89"/>
      <c r="K56" s="89"/>
      <c r="L56" s="89"/>
      <c r="M56" s="89"/>
      <c r="N56" s="89"/>
      <c r="O56" s="89"/>
    </row>
    <row r="57" spans="1:15">
      <c r="A57" s="95"/>
      <c r="B57" s="95"/>
      <c r="C57" s="95"/>
      <c r="D57" s="95"/>
      <c r="E57" s="95"/>
      <c r="F57" s="95"/>
      <c r="G57" s="376"/>
      <c r="H57" s="89"/>
      <c r="I57" s="89"/>
      <c r="J57" s="89"/>
      <c r="K57" s="89"/>
      <c r="L57" s="89"/>
      <c r="M57" s="89"/>
      <c r="N57" s="89"/>
      <c r="O57" s="89"/>
    </row>
    <row r="58" spans="1:15">
      <c r="A58" s="95"/>
      <c r="B58" s="95"/>
      <c r="C58" s="95"/>
      <c r="D58" s="95"/>
      <c r="E58" s="95"/>
      <c r="F58" s="95"/>
      <c r="G58" s="376"/>
      <c r="H58" s="89"/>
      <c r="I58" s="89"/>
      <c r="J58" s="89"/>
      <c r="K58" s="89"/>
      <c r="L58" s="89"/>
      <c r="M58" s="89"/>
      <c r="N58" s="89"/>
      <c r="O58" s="89"/>
    </row>
    <row r="59" spans="1:15">
      <c r="A59" s="95"/>
      <c r="B59" s="95"/>
      <c r="C59" s="95"/>
      <c r="D59" s="95"/>
      <c r="E59" s="95"/>
      <c r="F59" s="95"/>
      <c r="G59" s="376"/>
      <c r="H59" s="89"/>
      <c r="I59" s="89"/>
      <c r="J59" s="89"/>
      <c r="K59" s="89"/>
      <c r="L59" s="89"/>
      <c r="M59" s="89"/>
      <c r="N59" s="89"/>
      <c r="O59" s="89"/>
    </row>
    <row r="60" spans="1:15">
      <c r="A60" s="95"/>
      <c r="B60" s="95"/>
      <c r="C60" s="95"/>
      <c r="D60" s="95"/>
      <c r="E60" s="95"/>
      <c r="F60" s="95"/>
      <c r="G60" s="376"/>
      <c r="H60" s="89"/>
      <c r="I60" s="89"/>
      <c r="J60" s="89"/>
      <c r="K60" s="89"/>
      <c r="L60" s="89"/>
      <c r="M60" s="89"/>
      <c r="N60" s="89"/>
      <c r="O60" s="89"/>
    </row>
    <row r="61" spans="1:15">
      <c r="A61" s="95"/>
      <c r="B61" s="95"/>
      <c r="C61" s="95"/>
      <c r="D61" s="95"/>
      <c r="E61" s="95"/>
      <c r="F61" s="95"/>
      <c r="G61" s="376"/>
      <c r="H61" s="89"/>
      <c r="I61" s="89"/>
      <c r="J61" s="89"/>
      <c r="K61" s="89"/>
      <c r="L61" s="89"/>
      <c r="M61" s="89"/>
      <c r="N61" s="89"/>
      <c r="O61" s="89"/>
    </row>
    <row r="62" spans="1:15">
      <c r="A62" s="95"/>
      <c r="B62" s="95"/>
      <c r="C62" s="95"/>
      <c r="D62" s="95"/>
      <c r="E62" s="95"/>
      <c r="F62" s="95"/>
      <c r="G62" s="376"/>
      <c r="H62" s="89"/>
      <c r="I62" s="89"/>
      <c r="J62" s="89"/>
      <c r="K62" s="89"/>
      <c r="L62" s="89"/>
      <c r="M62" s="89"/>
      <c r="N62" s="89"/>
      <c r="O62" s="89"/>
    </row>
    <row r="63" spans="1:15">
      <c r="A63" s="95"/>
      <c r="B63" s="95"/>
      <c r="C63" s="95"/>
      <c r="D63" s="95"/>
      <c r="E63" s="95"/>
      <c r="F63" s="95"/>
      <c r="G63" s="376"/>
      <c r="H63" s="89"/>
      <c r="I63" s="89"/>
      <c r="J63" s="89"/>
      <c r="K63" s="89"/>
      <c r="L63" s="89"/>
      <c r="M63" s="89"/>
      <c r="N63" s="89"/>
      <c r="O63" s="89"/>
    </row>
    <row r="64" spans="1:15">
      <c r="A64" s="95"/>
      <c r="B64" s="95"/>
      <c r="C64" s="95"/>
      <c r="D64" s="95"/>
      <c r="E64" s="95"/>
      <c r="F64" s="95"/>
      <c r="G64" s="376"/>
      <c r="H64" s="89"/>
      <c r="I64" s="89"/>
      <c r="J64" s="89"/>
      <c r="K64" s="89"/>
      <c r="L64" s="89"/>
      <c r="M64" s="89"/>
      <c r="N64" s="89"/>
      <c r="O64" s="89"/>
    </row>
    <row r="65" spans="1:15">
      <c r="A65" s="95"/>
      <c r="B65" s="95"/>
      <c r="C65" s="95"/>
      <c r="D65" s="95"/>
      <c r="E65" s="95"/>
      <c r="F65" s="95"/>
      <c r="G65" s="376"/>
      <c r="H65" s="89"/>
      <c r="I65" s="89"/>
      <c r="J65" s="89"/>
      <c r="K65" s="89"/>
      <c r="L65" s="89"/>
      <c r="M65" s="89"/>
      <c r="N65" s="89"/>
      <c r="O65" s="89"/>
    </row>
    <row r="66" spans="1:15">
      <c r="A66" s="95"/>
      <c r="B66" s="95"/>
      <c r="C66" s="95"/>
      <c r="D66" s="95"/>
      <c r="E66" s="95"/>
      <c r="F66" s="95"/>
      <c r="G66" s="376"/>
      <c r="H66" s="89"/>
      <c r="I66" s="89"/>
      <c r="J66" s="89"/>
      <c r="K66" s="89"/>
      <c r="L66" s="89"/>
      <c r="M66" s="89"/>
      <c r="N66" s="89"/>
      <c r="O66" s="89"/>
    </row>
    <row r="67" spans="1:15">
      <c r="A67" s="95"/>
      <c r="B67" s="95"/>
      <c r="C67" s="95"/>
      <c r="D67" s="95"/>
      <c r="E67" s="95"/>
      <c r="F67" s="95"/>
      <c r="G67" s="376"/>
      <c r="H67" s="89"/>
      <c r="I67" s="89"/>
      <c r="J67" s="89"/>
      <c r="K67" s="89"/>
      <c r="L67" s="89"/>
      <c r="M67" s="89"/>
      <c r="N67" s="89"/>
      <c r="O67" s="89"/>
    </row>
    <row r="68" spans="1:15">
      <c r="A68" s="95"/>
      <c r="B68" s="95"/>
      <c r="C68" s="95"/>
      <c r="D68" s="95"/>
      <c r="E68" s="95"/>
      <c r="F68" s="95"/>
      <c r="G68" s="376"/>
      <c r="H68" s="89"/>
      <c r="I68" s="89"/>
      <c r="J68" s="89"/>
      <c r="K68" s="89"/>
      <c r="L68" s="89"/>
      <c r="M68" s="89"/>
      <c r="N68" s="89"/>
      <c r="O68" s="89"/>
    </row>
    <row r="69" spans="1:15">
      <c r="A69" s="95"/>
      <c r="B69" s="95"/>
      <c r="C69" s="95"/>
      <c r="D69" s="95"/>
      <c r="E69" s="95"/>
      <c r="F69" s="95"/>
      <c r="G69" s="376"/>
      <c r="H69" s="89"/>
      <c r="I69" s="89"/>
      <c r="J69" s="89"/>
      <c r="K69" s="89"/>
      <c r="L69" s="89"/>
      <c r="M69" s="89"/>
      <c r="N69" s="89"/>
      <c r="O69" s="89"/>
    </row>
    <row r="70" spans="1:15">
      <c r="A70" s="95"/>
      <c r="B70" s="95"/>
      <c r="C70" s="95"/>
      <c r="D70" s="95"/>
      <c r="E70" s="95"/>
      <c r="F70" s="95"/>
      <c r="G70" s="376"/>
      <c r="H70" s="89"/>
      <c r="I70" s="89"/>
      <c r="J70" s="89"/>
      <c r="K70" s="89"/>
      <c r="L70" s="89"/>
      <c r="M70" s="89"/>
      <c r="N70" s="89"/>
      <c r="O70" s="89"/>
    </row>
    <row r="71" spans="1:15">
      <c r="A71" s="95"/>
      <c r="B71" s="95"/>
      <c r="C71" s="95"/>
      <c r="D71" s="95"/>
      <c r="E71" s="95"/>
      <c r="F71" s="95"/>
      <c r="G71" s="376"/>
      <c r="H71" s="89"/>
      <c r="I71" s="89"/>
      <c r="J71" s="89"/>
      <c r="K71" s="89"/>
      <c r="L71" s="89"/>
      <c r="M71" s="89"/>
      <c r="N71" s="89"/>
      <c r="O71" s="89"/>
    </row>
    <row r="72" spans="1:15">
      <c r="A72" s="95"/>
      <c r="B72" s="95"/>
      <c r="C72" s="95"/>
      <c r="D72" s="95"/>
      <c r="E72" s="95"/>
      <c r="F72" s="95"/>
      <c r="G72" s="376"/>
      <c r="H72" s="89"/>
      <c r="I72" s="89"/>
      <c r="J72" s="89"/>
      <c r="K72" s="89"/>
      <c r="L72" s="89"/>
      <c r="M72" s="89"/>
      <c r="N72" s="89"/>
      <c r="O72" s="89"/>
    </row>
    <row r="73" spans="1:15">
      <c r="A73" s="95"/>
      <c r="B73" s="95"/>
      <c r="C73" s="95"/>
      <c r="D73" s="95"/>
      <c r="E73" s="95"/>
      <c r="F73" s="95"/>
      <c r="G73" s="376"/>
      <c r="H73" s="89"/>
      <c r="I73" s="89"/>
      <c r="J73" s="89"/>
      <c r="K73" s="89"/>
      <c r="L73" s="89"/>
      <c r="M73" s="89"/>
      <c r="N73" s="89"/>
      <c r="O73" s="89"/>
    </row>
    <row r="74" spans="1:15">
      <c r="A74" s="95"/>
      <c r="B74" s="95"/>
      <c r="C74" s="95"/>
      <c r="D74" s="95"/>
      <c r="E74" s="95"/>
      <c r="F74" s="95"/>
      <c r="G74" s="376"/>
      <c r="H74" s="89"/>
      <c r="I74" s="89"/>
      <c r="J74" s="89"/>
      <c r="K74" s="89"/>
      <c r="L74" s="89"/>
      <c r="M74" s="89"/>
      <c r="N74" s="89"/>
      <c r="O74" s="89"/>
    </row>
    <row r="75" spans="1:15">
      <c r="A75" s="95"/>
      <c r="B75" s="95"/>
      <c r="C75" s="95"/>
      <c r="D75" s="95"/>
      <c r="E75" s="95"/>
      <c r="F75" s="95"/>
      <c r="G75" s="376"/>
      <c r="H75" s="89"/>
      <c r="I75" s="89"/>
      <c r="J75" s="89"/>
      <c r="K75" s="89"/>
      <c r="L75" s="89"/>
      <c r="M75" s="89"/>
      <c r="N75" s="89"/>
      <c r="O75" s="89"/>
    </row>
    <row r="76" spans="1:15">
      <c r="A76" s="95"/>
      <c r="B76" s="95"/>
      <c r="C76" s="95"/>
      <c r="D76" s="95"/>
      <c r="E76" s="95"/>
      <c r="F76" s="95"/>
      <c r="G76" s="376"/>
      <c r="H76" s="89"/>
      <c r="I76" s="89"/>
      <c r="J76" s="89"/>
      <c r="K76" s="89"/>
      <c r="L76" s="89"/>
      <c r="M76" s="89"/>
      <c r="N76" s="89"/>
      <c r="O76" s="89"/>
    </row>
    <row r="77" spans="1:15">
      <c r="A77" s="95"/>
      <c r="B77" s="95"/>
      <c r="C77" s="95"/>
      <c r="D77" s="95"/>
      <c r="E77" s="95"/>
      <c r="F77" s="95"/>
      <c r="G77" s="376"/>
      <c r="H77" s="89"/>
      <c r="I77" s="89"/>
      <c r="J77" s="89"/>
      <c r="K77" s="89"/>
      <c r="L77" s="89"/>
      <c r="M77" s="89"/>
      <c r="N77" s="89"/>
      <c r="O77" s="89"/>
    </row>
    <row r="78" spans="1:15">
      <c r="A78" s="95"/>
      <c r="B78" s="95"/>
      <c r="C78" s="95"/>
      <c r="D78" s="95"/>
      <c r="E78" s="95"/>
      <c r="F78" s="95"/>
      <c r="G78" s="376"/>
      <c r="H78" s="89"/>
      <c r="I78" s="89"/>
      <c r="J78" s="89"/>
      <c r="K78" s="89"/>
      <c r="L78" s="89"/>
      <c r="M78" s="89"/>
      <c r="N78" s="89"/>
      <c r="O78" s="89"/>
    </row>
    <row r="79" spans="1:15">
      <c r="A79" s="95"/>
      <c r="B79" s="95"/>
      <c r="C79" s="95"/>
      <c r="D79" s="95"/>
      <c r="E79" s="95"/>
      <c r="F79" s="95"/>
      <c r="G79" s="376"/>
      <c r="H79" s="89"/>
      <c r="I79" s="89"/>
      <c r="J79" s="89"/>
      <c r="K79" s="89"/>
      <c r="L79" s="89"/>
      <c r="M79" s="89"/>
      <c r="N79" s="89"/>
      <c r="O79" s="89"/>
    </row>
    <row r="80" spans="1:15">
      <c r="A80" s="95"/>
      <c r="B80" s="95"/>
      <c r="C80" s="95"/>
      <c r="D80" s="95"/>
      <c r="E80" s="95"/>
      <c r="F80" s="95"/>
      <c r="G80" s="376"/>
      <c r="H80" s="89"/>
      <c r="I80" s="89"/>
      <c r="J80" s="89"/>
      <c r="K80" s="89"/>
      <c r="L80" s="89"/>
      <c r="M80" s="89"/>
      <c r="N80" s="89"/>
      <c r="O80" s="89"/>
    </row>
    <row r="81" spans="1:15">
      <c r="A81" s="95"/>
      <c r="B81" s="95"/>
      <c r="C81" s="95"/>
      <c r="D81" s="95"/>
      <c r="E81" s="95"/>
      <c r="F81" s="95"/>
      <c r="G81" s="376"/>
      <c r="H81" s="89"/>
      <c r="I81" s="89"/>
      <c r="J81" s="89"/>
      <c r="K81" s="89"/>
      <c r="L81" s="89"/>
      <c r="M81" s="89"/>
      <c r="N81" s="89"/>
      <c r="O81" s="89"/>
    </row>
    <row r="82" spans="1:15">
      <c r="A82" s="95"/>
      <c r="B82" s="95"/>
      <c r="C82" s="95"/>
      <c r="D82" s="95"/>
      <c r="E82" s="95"/>
      <c r="F82" s="95"/>
      <c r="G82" s="376"/>
      <c r="H82" s="89"/>
      <c r="I82" s="89"/>
      <c r="J82" s="89"/>
      <c r="K82" s="89"/>
      <c r="L82" s="89"/>
      <c r="M82" s="89"/>
      <c r="N82" s="89"/>
      <c r="O82" s="89"/>
    </row>
    <row r="83" spans="1:15">
      <c r="A83" s="95"/>
      <c r="B83" s="95"/>
      <c r="C83" s="95"/>
      <c r="D83" s="95"/>
      <c r="E83" s="95"/>
      <c r="F83" s="95"/>
      <c r="G83" s="376"/>
      <c r="H83" s="89"/>
      <c r="I83" s="89"/>
      <c r="J83" s="89"/>
      <c r="K83" s="89"/>
      <c r="L83" s="89"/>
      <c r="M83" s="89"/>
      <c r="N83" s="89"/>
      <c r="O83" s="89"/>
    </row>
    <row r="84" spans="1:15">
      <c r="A84" s="95"/>
      <c r="B84" s="95"/>
      <c r="C84" s="95"/>
      <c r="D84" s="95"/>
      <c r="E84" s="95"/>
      <c r="F84" s="95"/>
      <c r="G84" s="376"/>
      <c r="H84" s="89"/>
      <c r="I84" s="89"/>
      <c r="J84" s="89"/>
      <c r="K84" s="89"/>
      <c r="L84" s="89"/>
      <c r="M84" s="89"/>
      <c r="N84" s="89"/>
      <c r="O84" s="89"/>
    </row>
    <row r="85" spans="1:15">
      <c r="A85" s="95"/>
      <c r="B85" s="95"/>
      <c r="C85" s="95"/>
      <c r="D85" s="95"/>
      <c r="E85" s="95"/>
      <c r="F85" s="95"/>
      <c r="G85" s="376"/>
      <c r="H85" s="89"/>
      <c r="I85" s="89"/>
      <c r="J85" s="89"/>
      <c r="K85" s="89"/>
      <c r="L85" s="89"/>
      <c r="M85" s="89"/>
      <c r="N85" s="89"/>
      <c r="O85" s="89"/>
    </row>
    <row r="86" spans="1:15">
      <c r="A86" s="95"/>
      <c r="B86" s="95"/>
      <c r="C86" s="95"/>
      <c r="D86" s="95"/>
      <c r="E86" s="95"/>
      <c r="F86" s="95"/>
      <c r="G86" s="376"/>
      <c r="H86" s="89"/>
      <c r="I86" s="89"/>
      <c r="J86" s="89"/>
      <c r="K86" s="89"/>
      <c r="L86" s="89"/>
      <c r="M86" s="89"/>
      <c r="N86" s="89"/>
      <c r="O86" s="89"/>
    </row>
    <row r="87" spans="1:15">
      <c r="A87" s="95"/>
      <c r="B87" s="95"/>
      <c r="C87" s="95"/>
      <c r="D87" s="95"/>
      <c r="E87" s="95"/>
      <c r="F87" s="95"/>
      <c r="G87" s="376"/>
      <c r="H87" s="89"/>
      <c r="I87" s="89"/>
      <c r="J87" s="89"/>
      <c r="K87" s="89"/>
      <c r="L87" s="89"/>
      <c r="M87" s="89"/>
      <c r="N87" s="89"/>
      <c r="O87" s="89"/>
    </row>
    <row r="88" spans="1:15">
      <c r="A88" s="95"/>
      <c r="B88" s="95"/>
      <c r="C88" s="95"/>
      <c r="D88" s="95"/>
      <c r="E88" s="95"/>
      <c r="F88" s="95"/>
      <c r="G88" s="376"/>
      <c r="H88" s="89"/>
      <c r="I88" s="89"/>
      <c r="J88" s="89"/>
      <c r="K88" s="89"/>
      <c r="L88" s="89"/>
      <c r="M88" s="89"/>
      <c r="N88" s="89"/>
      <c r="O88" s="89"/>
    </row>
    <row r="89" spans="1:15">
      <c r="A89" s="95"/>
      <c r="B89" s="95"/>
      <c r="C89" s="95"/>
      <c r="D89" s="95"/>
      <c r="E89" s="95"/>
      <c r="F89" s="95"/>
      <c r="G89" s="376"/>
      <c r="H89" s="89"/>
      <c r="I89" s="89"/>
      <c r="J89" s="89"/>
      <c r="K89" s="89"/>
      <c r="L89" s="89"/>
      <c r="M89" s="89"/>
      <c r="N89" s="89"/>
      <c r="O89" s="89"/>
    </row>
    <row r="90" spans="1:15">
      <c r="A90" s="95"/>
      <c r="B90" s="95"/>
      <c r="C90" s="95"/>
      <c r="D90" s="95"/>
      <c r="E90" s="95"/>
      <c r="F90" s="95"/>
      <c r="G90" s="376"/>
      <c r="H90" s="89"/>
      <c r="I90" s="89"/>
      <c r="J90" s="89"/>
      <c r="K90" s="89"/>
      <c r="L90" s="89"/>
      <c r="M90" s="89"/>
      <c r="N90" s="89"/>
      <c r="O90" s="89"/>
    </row>
    <row r="91" spans="1:15">
      <c r="A91" s="95"/>
      <c r="B91" s="95"/>
      <c r="C91" s="95"/>
      <c r="D91" s="95"/>
      <c r="E91" s="95"/>
      <c r="F91" s="95"/>
      <c r="G91" s="376"/>
      <c r="H91" s="89"/>
      <c r="I91" s="89"/>
      <c r="J91" s="89"/>
      <c r="K91" s="89"/>
      <c r="L91" s="89"/>
      <c r="M91" s="89"/>
      <c r="N91" s="89"/>
      <c r="O91" s="89"/>
    </row>
    <row r="92" spans="1:15">
      <c r="A92" s="95"/>
      <c r="B92" s="95"/>
      <c r="C92" s="95"/>
      <c r="D92" s="95"/>
      <c r="E92" s="95"/>
      <c r="F92" s="95"/>
      <c r="G92" s="376"/>
      <c r="H92" s="89"/>
      <c r="I92" s="89"/>
      <c r="J92" s="89"/>
      <c r="K92" s="89"/>
      <c r="L92" s="89"/>
      <c r="M92" s="89"/>
      <c r="N92" s="89"/>
      <c r="O92" s="89"/>
    </row>
    <row r="93" spans="1:15">
      <c r="A93" s="95"/>
      <c r="B93" s="95"/>
      <c r="C93" s="95"/>
      <c r="D93" s="95"/>
      <c r="E93" s="95"/>
      <c r="F93" s="95"/>
      <c r="G93" s="376"/>
      <c r="H93" s="89"/>
      <c r="I93" s="89"/>
      <c r="J93" s="89"/>
      <c r="K93" s="89"/>
      <c r="L93" s="89"/>
      <c r="M93" s="89"/>
      <c r="N93" s="89"/>
      <c r="O93" s="89"/>
    </row>
    <row r="94" spans="1:15">
      <c r="A94" s="95"/>
      <c r="B94" s="95"/>
      <c r="C94" s="95"/>
      <c r="D94" s="95"/>
      <c r="E94" s="95"/>
      <c r="F94" s="95"/>
      <c r="G94" s="376"/>
      <c r="H94" s="89"/>
      <c r="I94" s="89"/>
      <c r="J94" s="89"/>
      <c r="K94" s="89"/>
      <c r="L94" s="89"/>
      <c r="M94" s="89"/>
      <c r="N94" s="89"/>
      <c r="O94" s="89"/>
    </row>
    <row r="95" spans="1:15">
      <c r="A95" s="95"/>
      <c r="B95" s="95"/>
      <c r="C95" s="95"/>
      <c r="D95" s="95"/>
      <c r="E95" s="95"/>
      <c r="F95" s="95"/>
      <c r="G95" s="376"/>
      <c r="H95" s="89"/>
      <c r="I95" s="89"/>
      <c r="J95" s="89"/>
      <c r="K95" s="89"/>
      <c r="L95" s="89"/>
      <c r="M95" s="89"/>
      <c r="N95" s="89"/>
      <c r="O95" s="89"/>
    </row>
    <row r="96" spans="1:15">
      <c r="A96" s="95"/>
      <c r="B96" s="95"/>
      <c r="C96" s="95"/>
      <c r="D96" s="95"/>
      <c r="E96" s="95"/>
      <c r="F96" s="95"/>
      <c r="G96" s="376"/>
      <c r="H96" s="89"/>
      <c r="I96" s="89"/>
      <c r="J96" s="89"/>
      <c r="K96" s="89"/>
      <c r="L96" s="89"/>
      <c r="M96" s="89"/>
      <c r="N96" s="89"/>
      <c r="O96" s="89"/>
    </row>
    <row r="97" spans="1:15">
      <c r="A97" s="95"/>
      <c r="B97" s="95"/>
      <c r="C97" s="95"/>
      <c r="D97" s="95"/>
      <c r="E97" s="95"/>
      <c r="F97" s="95"/>
      <c r="G97" s="376"/>
      <c r="H97" s="89"/>
      <c r="I97" s="89"/>
      <c r="J97" s="89"/>
      <c r="K97" s="89"/>
      <c r="L97" s="89"/>
      <c r="M97" s="89"/>
      <c r="N97" s="89"/>
      <c r="O97" s="89"/>
    </row>
    <row r="98" spans="1:15">
      <c r="A98" s="95"/>
      <c r="B98" s="95"/>
      <c r="C98" s="95"/>
      <c r="D98" s="95"/>
      <c r="E98" s="95"/>
      <c r="F98" s="95"/>
      <c r="G98" s="376"/>
      <c r="H98" s="89"/>
      <c r="I98" s="89"/>
      <c r="J98" s="89"/>
      <c r="K98" s="89"/>
      <c r="L98" s="89"/>
      <c r="M98" s="89"/>
      <c r="N98" s="89"/>
      <c r="O98" s="89"/>
    </row>
    <row r="99" spans="1:15">
      <c r="A99" s="95"/>
      <c r="B99" s="95"/>
      <c r="C99" s="95"/>
      <c r="D99" s="95"/>
      <c r="E99" s="95"/>
      <c r="F99" s="95"/>
      <c r="G99" s="376"/>
      <c r="H99" s="89"/>
      <c r="I99" s="89"/>
      <c r="J99" s="89"/>
      <c r="K99" s="89"/>
      <c r="L99" s="89"/>
      <c r="M99" s="89"/>
      <c r="N99" s="89"/>
      <c r="O99" s="89"/>
    </row>
    <row r="100" spans="1:15">
      <c r="A100" s="95"/>
      <c r="B100" s="95"/>
      <c r="C100" s="95"/>
      <c r="D100" s="95"/>
      <c r="E100" s="95"/>
      <c r="F100" s="95"/>
      <c r="G100" s="376"/>
      <c r="H100" s="89"/>
      <c r="I100" s="89"/>
      <c r="J100" s="89"/>
      <c r="K100" s="89"/>
      <c r="L100" s="89"/>
      <c r="M100" s="89"/>
      <c r="N100" s="89"/>
      <c r="O100" s="89"/>
    </row>
    <row r="101" spans="1:15">
      <c r="A101" s="95"/>
      <c r="B101" s="95"/>
      <c r="C101" s="95"/>
      <c r="D101" s="95"/>
      <c r="E101" s="95"/>
      <c r="F101" s="95"/>
      <c r="G101" s="376"/>
      <c r="H101" s="89"/>
      <c r="I101" s="89"/>
      <c r="J101" s="89"/>
      <c r="K101" s="89"/>
      <c r="L101" s="89"/>
      <c r="M101" s="89"/>
      <c r="N101" s="89"/>
      <c r="O101" s="89"/>
    </row>
    <row r="102" spans="1:15">
      <c r="A102" s="95"/>
      <c r="B102" s="95"/>
      <c r="C102" s="95"/>
      <c r="D102" s="95"/>
      <c r="E102" s="95"/>
      <c r="F102" s="95"/>
      <c r="G102" s="376"/>
      <c r="H102" s="89"/>
      <c r="I102" s="89"/>
      <c r="J102" s="89"/>
      <c r="K102" s="89"/>
      <c r="L102" s="89"/>
      <c r="M102" s="89"/>
      <c r="N102" s="89"/>
      <c r="O102" s="89"/>
    </row>
    <row r="103" spans="1:15">
      <c r="A103" s="95"/>
      <c r="B103" s="95"/>
      <c r="C103" s="95"/>
      <c r="D103" s="95"/>
      <c r="E103" s="95"/>
      <c r="F103" s="95"/>
      <c r="G103" s="376"/>
      <c r="H103" s="89"/>
      <c r="I103" s="89"/>
      <c r="J103" s="89"/>
      <c r="K103" s="89"/>
      <c r="L103" s="89"/>
      <c r="M103" s="89"/>
      <c r="N103" s="89"/>
      <c r="O103" s="89"/>
    </row>
    <row r="104" spans="1:15">
      <c r="A104" s="95"/>
      <c r="B104" s="95"/>
      <c r="C104" s="95"/>
      <c r="D104" s="95"/>
      <c r="E104" s="95"/>
      <c r="F104" s="95"/>
      <c r="G104" s="376"/>
      <c r="H104" s="89"/>
      <c r="I104" s="89"/>
      <c r="J104" s="89"/>
      <c r="K104" s="89"/>
      <c r="L104" s="89"/>
      <c r="M104" s="89"/>
      <c r="N104" s="89"/>
      <c r="O104" s="89"/>
    </row>
    <row r="105" spans="1:15">
      <c r="A105" s="95"/>
      <c r="B105" s="95"/>
      <c r="C105" s="95"/>
      <c r="D105" s="95"/>
      <c r="E105" s="95"/>
      <c r="F105" s="95"/>
      <c r="G105" s="376"/>
      <c r="H105" s="89"/>
      <c r="I105" s="89"/>
      <c r="J105" s="89"/>
      <c r="K105" s="89"/>
      <c r="L105" s="89"/>
      <c r="M105" s="89"/>
      <c r="N105" s="89"/>
      <c r="O105" s="89"/>
    </row>
    <row r="106" spans="1:15">
      <c r="A106" s="95"/>
      <c r="B106" s="95"/>
      <c r="C106" s="95"/>
      <c r="D106" s="95"/>
      <c r="E106" s="95"/>
      <c r="F106" s="95"/>
      <c r="G106" s="376"/>
      <c r="H106" s="89"/>
      <c r="I106" s="89"/>
      <c r="J106" s="89"/>
      <c r="K106" s="89"/>
      <c r="L106" s="89"/>
      <c r="M106" s="89"/>
      <c r="N106" s="89"/>
      <c r="O106" s="89"/>
    </row>
    <row r="107" spans="1:15">
      <c r="A107" s="95"/>
      <c r="B107" s="95"/>
      <c r="C107" s="95"/>
      <c r="D107" s="95"/>
      <c r="E107" s="95"/>
      <c r="F107" s="95"/>
      <c r="G107" s="376"/>
      <c r="H107" s="89"/>
      <c r="I107" s="89"/>
      <c r="J107" s="89"/>
      <c r="K107" s="89"/>
      <c r="L107" s="89"/>
      <c r="M107" s="89"/>
      <c r="N107" s="89"/>
      <c r="O107" s="89"/>
    </row>
    <row r="108" spans="1:15">
      <c r="A108" s="95"/>
      <c r="B108" s="95"/>
      <c r="C108" s="95"/>
      <c r="D108" s="95"/>
      <c r="E108" s="95"/>
      <c r="F108" s="95"/>
      <c r="G108" s="376"/>
      <c r="H108" s="89"/>
      <c r="I108" s="89"/>
      <c r="J108" s="89"/>
      <c r="K108" s="89"/>
      <c r="L108" s="89"/>
      <c r="M108" s="89"/>
      <c r="N108" s="89"/>
      <c r="O108" s="89"/>
    </row>
    <row r="109" spans="1:15">
      <c r="A109" s="95"/>
      <c r="B109" s="95"/>
      <c r="C109" s="95"/>
      <c r="D109" s="95"/>
      <c r="E109" s="95"/>
      <c r="F109" s="95"/>
      <c r="G109" s="376"/>
      <c r="H109" s="89"/>
      <c r="I109" s="89"/>
      <c r="J109" s="89"/>
      <c r="K109" s="89"/>
      <c r="L109" s="89"/>
      <c r="M109" s="89"/>
      <c r="N109" s="89"/>
      <c r="O109" s="89"/>
    </row>
    <row r="110" spans="1:15">
      <c r="A110" s="95"/>
      <c r="B110" s="95"/>
      <c r="C110" s="95"/>
      <c r="D110" s="95"/>
      <c r="E110" s="95"/>
      <c r="F110" s="95"/>
      <c r="G110" s="376"/>
      <c r="H110" s="89"/>
      <c r="I110" s="89"/>
      <c r="J110" s="89"/>
      <c r="K110" s="89"/>
      <c r="L110" s="89"/>
      <c r="M110" s="89"/>
      <c r="N110" s="89"/>
      <c r="O110" s="89"/>
    </row>
    <row r="111" spans="1:15">
      <c r="A111" s="95"/>
      <c r="B111" s="95"/>
      <c r="C111" s="95"/>
      <c r="D111" s="95"/>
      <c r="E111" s="95"/>
      <c r="F111" s="95"/>
      <c r="G111" s="376"/>
      <c r="H111" s="89"/>
      <c r="I111" s="89"/>
      <c r="J111" s="89"/>
      <c r="K111" s="89"/>
      <c r="L111" s="89"/>
      <c r="M111" s="89"/>
      <c r="N111" s="89"/>
      <c r="O111" s="89"/>
    </row>
    <row r="112" spans="1:15">
      <c r="A112" s="95"/>
      <c r="B112" s="95"/>
      <c r="C112" s="95"/>
      <c r="D112" s="95"/>
      <c r="E112" s="95"/>
      <c r="F112" s="95"/>
      <c r="G112" s="376"/>
      <c r="H112" s="89"/>
      <c r="I112" s="89"/>
      <c r="J112" s="89"/>
      <c r="K112" s="89"/>
      <c r="L112" s="89"/>
      <c r="M112" s="89"/>
      <c r="N112" s="89"/>
      <c r="O112" s="89"/>
    </row>
    <row r="113" spans="1:15">
      <c r="A113" s="95"/>
      <c r="B113" s="95"/>
      <c r="C113" s="95"/>
      <c r="D113" s="95"/>
      <c r="E113" s="95"/>
      <c r="F113" s="95"/>
      <c r="G113" s="376"/>
      <c r="H113" s="89"/>
      <c r="I113" s="89"/>
      <c r="J113" s="89"/>
      <c r="K113" s="89"/>
      <c r="L113" s="89"/>
      <c r="M113" s="89"/>
      <c r="N113" s="89"/>
      <c r="O113" s="89"/>
    </row>
    <row r="114" spans="1:15">
      <c r="A114" s="95"/>
      <c r="B114" s="95"/>
      <c r="C114" s="95"/>
      <c r="D114" s="95"/>
      <c r="E114" s="95"/>
      <c r="F114" s="95"/>
      <c r="G114" s="376"/>
      <c r="H114" s="89"/>
      <c r="I114" s="89"/>
      <c r="J114" s="89"/>
      <c r="K114" s="89"/>
      <c r="L114" s="89"/>
      <c r="M114" s="89"/>
      <c r="N114" s="89"/>
      <c r="O114" s="89"/>
    </row>
    <row r="115" spans="1:15">
      <c r="A115" s="95"/>
      <c r="B115" s="95"/>
      <c r="C115" s="95"/>
      <c r="D115" s="95"/>
      <c r="E115" s="95"/>
      <c r="F115" s="95"/>
      <c r="G115" s="376"/>
      <c r="H115" s="89"/>
      <c r="I115" s="89"/>
      <c r="J115" s="89"/>
      <c r="K115" s="89"/>
      <c r="L115" s="89"/>
      <c r="M115" s="89"/>
      <c r="N115" s="89"/>
      <c r="O115" s="89"/>
    </row>
    <row r="116" spans="1:15">
      <c r="A116" s="95"/>
      <c r="B116" s="95"/>
      <c r="C116" s="95"/>
      <c r="D116" s="95"/>
      <c r="E116" s="95"/>
      <c r="F116" s="95"/>
      <c r="G116" s="376"/>
      <c r="H116" s="89"/>
      <c r="I116" s="89"/>
      <c r="J116" s="89"/>
      <c r="K116" s="89"/>
      <c r="L116" s="89"/>
      <c r="M116" s="89"/>
      <c r="N116" s="89"/>
      <c r="O116" s="89"/>
    </row>
    <row r="117" spans="1:15">
      <c r="A117" s="95"/>
      <c r="B117" s="95"/>
      <c r="C117" s="95"/>
      <c r="D117" s="95"/>
      <c r="E117" s="95"/>
      <c r="F117" s="95"/>
      <c r="G117" s="376"/>
      <c r="H117" s="89"/>
      <c r="I117" s="89"/>
      <c r="J117" s="89"/>
      <c r="K117" s="89"/>
      <c r="L117" s="89"/>
      <c r="M117" s="89"/>
      <c r="N117" s="89"/>
      <c r="O117" s="89"/>
    </row>
    <row r="118" spans="1:15">
      <c r="A118" s="95"/>
      <c r="B118" s="95"/>
      <c r="C118" s="95"/>
      <c r="D118" s="95"/>
      <c r="E118" s="95"/>
      <c r="F118" s="95"/>
      <c r="G118" s="376"/>
      <c r="H118" s="89"/>
      <c r="I118" s="89"/>
      <c r="J118" s="89"/>
      <c r="K118" s="89"/>
      <c r="L118" s="89"/>
      <c r="M118" s="89"/>
      <c r="N118" s="89"/>
      <c r="O118" s="89"/>
    </row>
    <row r="119" spans="1:15">
      <c r="A119" s="95"/>
      <c r="B119" s="95"/>
      <c r="C119" s="95"/>
      <c r="D119" s="95"/>
      <c r="E119" s="95"/>
      <c r="F119" s="95"/>
      <c r="G119" s="376"/>
      <c r="H119" s="89"/>
      <c r="I119" s="89"/>
      <c r="J119" s="89"/>
      <c r="K119" s="89"/>
      <c r="L119" s="89"/>
      <c r="M119" s="89"/>
      <c r="N119" s="89"/>
      <c r="O119" s="89"/>
    </row>
    <row r="120" spans="1:15">
      <c r="A120" s="95"/>
      <c r="B120" s="95"/>
      <c r="C120" s="95"/>
      <c r="D120" s="95"/>
      <c r="E120" s="95"/>
      <c r="F120" s="95"/>
      <c r="G120" s="376"/>
      <c r="H120" s="89"/>
      <c r="I120" s="89"/>
      <c r="J120" s="89"/>
      <c r="K120" s="89"/>
      <c r="L120" s="89"/>
      <c r="M120" s="89"/>
      <c r="N120" s="89"/>
      <c r="O120" s="89"/>
    </row>
    <row r="121" spans="1:15">
      <c r="A121" s="95"/>
      <c r="B121" s="95"/>
      <c r="C121" s="95"/>
      <c r="D121" s="95"/>
      <c r="E121" s="95"/>
      <c r="F121" s="95"/>
      <c r="G121" s="376"/>
      <c r="H121" s="89"/>
      <c r="I121" s="89"/>
      <c r="J121" s="89"/>
      <c r="K121" s="89"/>
      <c r="L121" s="89"/>
      <c r="M121" s="89"/>
      <c r="N121" s="89"/>
      <c r="O121" s="89"/>
    </row>
    <row r="122" spans="1:15">
      <c r="A122" s="95"/>
      <c r="B122" s="95"/>
      <c r="C122" s="95"/>
      <c r="D122" s="95"/>
      <c r="E122" s="95"/>
      <c r="F122" s="95"/>
      <c r="G122" s="376"/>
      <c r="H122" s="89"/>
      <c r="I122" s="89"/>
      <c r="J122" s="89"/>
      <c r="K122" s="89"/>
      <c r="L122" s="89"/>
      <c r="M122" s="89"/>
      <c r="N122" s="89"/>
      <c r="O122" s="89"/>
    </row>
    <row r="123" spans="1:15">
      <c r="A123" s="95"/>
      <c r="B123" s="95"/>
      <c r="C123" s="95"/>
      <c r="D123" s="95"/>
      <c r="E123" s="95"/>
      <c r="F123" s="95"/>
      <c r="G123" s="376"/>
      <c r="H123" s="89"/>
      <c r="I123" s="89"/>
      <c r="J123" s="89"/>
      <c r="K123" s="89"/>
      <c r="L123" s="89"/>
      <c r="M123" s="89"/>
      <c r="N123" s="89"/>
      <c r="O123" s="89"/>
    </row>
    <row r="124" spans="1:15">
      <c r="A124" s="95"/>
      <c r="B124" s="95"/>
      <c r="C124" s="95"/>
      <c r="D124" s="95"/>
      <c r="E124" s="95"/>
      <c r="F124" s="95"/>
      <c r="G124" s="376"/>
      <c r="H124" s="89"/>
      <c r="I124" s="89"/>
      <c r="J124" s="89"/>
      <c r="K124" s="89"/>
      <c r="L124" s="89"/>
      <c r="M124" s="89"/>
      <c r="N124" s="89"/>
      <c r="O124" s="89"/>
    </row>
    <row r="125" spans="1:15">
      <c r="A125" s="95"/>
      <c r="B125" s="95"/>
      <c r="C125" s="95"/>
      <c r="D125" s="95"/>
      <c r="E125" s="95"/>
      <c r="F125" s="95"/>
      <c r="G125" s="376"/>
      <c r="H125" s="89"/>
      <c r="I125" s="89"/>
      <c r="J125" s="89"/>
      <c r="K125" s="89"/>
      <c r="L125" s="89"/>
      <c r="M125" s="89"/>
      <c r="N125" s="89"/>
      <c r="O125" s="89"/>
    </row>
    <row r="126" spans="1:15">
      <c r="A126" s="95"/>
      <c r="B126" s="95"/>
      <c r="C126" s="95"/>
      <c r="D126" s="95"/>
      <c r="E126" s="95"/>
      <c r="F126" s="95"/>
      <c r="G126" s="376"/>
      <c r="H126" s="89"/>
      <c r="I126" s="89"/>
      <c r="J126" s="89"/>
      <c r="K126" s="89"/>
      <c r="L126" s="89"/>
      <c r="M126" s="89"/>
      <c r="N126" s="89"/>
      <c r="O126" s="89"/>
    </row>
    <row r="127" spans="1:15">
      <c r="A127" s="95"/>
      <c r="B127" s="95"/>
      <c r="C127" s="95"/>
      <c r="D127" s="95"/>
      <c r="E127" s="95"/>
      <c r="F127" s="95"/>
      <c r="G127" s="376"/>
      <c r="H127" s="89"/>
      <c r="I127" s="89"/>
      <c r="J127" s="89"/>
      <c r="K127" s="89"/>
      <c r="L127" s="89"/>
      <c r="M127" s="89"/>
      <c r="N127" s="89"/>
      <c r="O127" s="89"/>
    </row>
    <row r="128" spans="1:15">
      <c r="A128" s="95"/>
      <c r="B128" s="95"/>
      <c r="C128" s="95"/>
      <c r="D128" s="95"/>
      <c r="E128" s="95"/>
      <c r="F128" s="95"/>
      <c r="G128" s="376"/>
      <c r="H128" s="89"/>
      <c r="I128" s="89"/>
      <c r="J128" s="89"/>
      <c r="K128" s="89"/>
      <c r="L128" s="89"/>
      <c r="M128" s="89"/>
      <c r="N128" s="89"/>
      <c r="O128" s="89"/>
    </row>
    <row r="129" spans="1:15">
      <c r="A129" s="95"/>
      <c r="B129" s="95"/>
      <c r="C129" s="95"/>
      <c r="D129" s="95"/>
      <c r="E129" s="95"/>
      <c r="F129" s="95"/>
      <c r="G129" s="376"/>
      <c r="H129" s="89"/>
      <c r="I129" s="89"/>
      <c r="J129" s="89"/>
      <c r="K129" s="89"/>
      <c r="L129" s="89"/>
      <c r="M129" s="89"/>
      <c r="N129" s="89"/>
      <c r="O129" s="89"/>
    </row>
    <row r="130" spans="1:15">
      <c r="A130" s="95"/>
      <c r="B130" s="95"/>
      <c r="C130" s="95"/>
      <c r="D130" s="95"/>
      <c r="E130" s="95"/>
      <c r="F130" s="95"/>
      <c r="G130" s="376"/>
      <c r="H130" s="89"/>
      <c r="I130" s="89"/>
      <c r="J130" s="89"/>
      <c r="K130" s="89"/>
      <c r="L130" s="89"/>
      <c r="M130" s="89"/>
      <c r="N130" s="89"/>
      <c r="O130" s="89"/>
    </row>
    <row r="131" spans="1:15">
      <c r="A131" s="95"/>
      <c r="B131" s="95"/>
      <c r="C131" s="95"/>
      <c r="D131" s="95"/>
      <c r="E131" s="95"/>
      <c r="F131" s="95"/>
      <c r="G131" s="376"/>
      <c r="H131" s="89"/>
      <c r="I131" s="89"/>
      <c r="J131" s="89"/>
      <c r="K131" s="89"/>
      <c r="L131" s="89"/>
      <c r="M131" s="89"/>
      <c r="N131" s="89"/>
      <c r="O131" s="89"/>
    </row>
    <row r="132" spans="1:15">
      <c r="A132" s="95"/>
      <c r="B132" s="95"/>
      <c r="C132" s="95"/>
      <c r="D132" s="95"/>
      <c r="E132" s="95"/>
      <c r="F132" s="95"/>
      <c r="G132" s="376"/>
      <c r="H132" s="89"/>
      <c r="I132" s="89"/>
      <c r="J132" s="89"/>
      <c r="K132" s="89"/>
      <c r="L132" s="89"/>
      <c r="M132" s="89"/>
      <c r="N132" s="89"/>
      <c r="O132" s="89"/>
    </row>
    <row r="133" spans="1:15">
      <c r="A133" s="95"/>
      <c r="B133" s="95"/>
      <c r="C133" s="95"/>
      <c r="D133" s="95"/>
      <c r="E133" s="95"/>
      <c r="F133" s="95"/>
      <c r="G133" s="376"/>
      <c r="H133" s="89"/>
      <c r="I133" s="89"/>
      <c r="J133" s="89"/>
      <c r="K133" s="89"/>
      <c r="L133" s="89"/>
      <c r="M133" s="89"/>
      <c r="N133" s="89"/>
      <c r="O133" s="89"/>
    </row>
    <row r="134" spans="1:15">
      <c r="A134" s="95"/>
      <c r="B134" s="95"/>
      <c r="C134" s="95"/>
      <c r="D134" s="95"/>
      <c r="E134" s="95"/>
      <c r="F134" s="95"/>
      <c r="G134" s="376"/>
      <c r="H134" s="89"/>
      <c r="I134" s="89"/>
      <c r="J134" s="89"/>
      <c r="K134" s="89"/>
      <c r="L134" s="89"/>
      <c r="M134" s="89"/>
      <c r="N134" s="89"/>
      <c r="O134" s="89"/>
    </row>
    <row r="135" spans="1:15">
      <c r="A135" s="95"/>
      <c r="B135" s="95"/>
      <c r="C135" s="95"/>
      <c r="D135" s="95"/>
      <c r="E135" s="95"/>
      <c r="F135" s="95"/>
      <c r="G135" s="376"/>
      <c r="H135" s="89"/>
      <c r="I135" s="89"/>
      <c r="J135" s="89"/>
      <c r="K135" s="89"/>
      <c r="L135" s="89"/>
      <c r="M135" s="89"/>
      <c r="N135" s="89"/>
      <c r="O135" s="89"/>
    </row>
    <row r="136" spans="1:15">
      <c r="A136" s="95"/>
      <c r="B136" s="95"/>
      <c r="C136" s="95"/>
      <c r="D136" s="95"/>
      <c r="E136" s="95"/>
      <c r="F136" s="95"/>
      <c r="G136" s="376"/>
      <c r="H136" s="89"/>
      <c r="I136" s="89"/>
      <c r="J136" s="89"/>
      <c r="K136" s="89"/>
      <c r="L136" s="89"/>
      <c r="M136" s="89"/>
      <c r="N136" s="89"/>
      <c r="O136" s="89"/>
    </row>
    <row r="137" spans="1:15">
      <c r="A137" s="95"/>
      <c r="B137" s="95"/>
      <c r="C137" s="95"/>
      <c r="D137" s="95"/>
      <c r="E137" s="95"/>
      <c r="F137" s="95"/>
      <c r="G137" s="376"/>
      <c r="H137" s="89"/>
      <c r="I137" s="89"/>
      <c r="J137" s="89"/>
      <c r="K137" s="89"/>
      <c r="L137" s="89"/>
      <c r="M137" s="89"/>
      <c r="N137" s="89"/>
      <c r="O137" s="89"/>
    </row>
    <row r="138" spans="1:15">
      <c r="A138" s="95"/>
      <c r="B138" s="95"/>
      <c r="C138" s="95"/>
      <c r="D138" s="95"/>
      <c r="E138" s="95"/>
      <c r="F138" s="95"/>
      <c r="G138" s="376"/>
      <c r="H138" s="89"/>
      <c r="I138" s="89"/>
      <c r="J138" s="89"/>
      <c r="K138" s="89"/>
      <c r="L138" s="89"/>
      <c r="M138" s="89"/>
      <c r="N138" s="89"/>
      <c r="O138" s="89"/>
    </row>
    <row r="139" spans="1:15">
      <c r="A139" s="95"/>
      <c r="B139" s="95"/>
      <c r="C139" s="95"/>
      <c r="D139" s="95"/>
      <c r="E139" s="95"/>
      <c r="F139" s="95"/>
      <c r="G139" s="95"/>
    </row>
    <row r="140" spans="1:15">
      <c r="A140" s="95"/>
      <c r="B140" s="95"/>
      <c r="C140" s="95"/>
      <c r="D140" s="95"/>
      <c r="E140" s="95"/>
      <c r="F140" s="95"/>
      <c r="G140" s="95"/>
    </row>
    <row r="141" spans="1:15">
      <c r="A141" s="95"/>
      <c r="B141" s="95"/>
      <c r="C141" s="95"/>
      <c r="D141" s="95"/>
      <c r="E141" s="95"/>
      <c r="F141" s="95"/>
      <c r="G141" s="95"/>
    </row>
    <row r="142" spans="1:15">
      <c r="A142" s="95"/>
      <c r="B142" s="95"/>
      <c r="C142" s="95"/>
      <c r="D142" s="95"/>
      <c r="E142" s="95"/>
      <c r="F142" s="95"/>
      <c r="G142" s="95"/>
    </row>
    <row r="143" spans="1:15">
      <c r="A143" s="95"/>
      <c r="B143" s="95"/>
      <c r="C143" s="95"/>
      <c r="D143" s="95"/>
      <c r="E143" s="95"/>
      <c r="F143" s="95"/>
      <c r="G143" s="95"/>
    </row>
    <row r="144" spans="1:15">
      <c r="A144" s="95"/>
      <c r="B144" s="95"/>
      <c r="C144" s="95"/>
      <c r="D144" s="95"/>
      <c r="E144" s="95"/>
      <c r="F144" s="95"/>
      <c r="G144" s="95"/>
    </row>
    <row r="145" spans="1:7">
      <c r="A145" s="95"/>
      <c r="B145" s="95"/>
      <c r="C145" s="95"/>
      <c r="D145" s="95"/>
      <c r="E145" s="95"/>
      <c r="F145" s="95"/>
      <c r="G145" s="95"/>
    </row>
    <row r="146" spans="1:7">
      <c r="A146" s="95"/>
      <c r="B146" s="95"/>
      <c r="C146" s="95"/>
      <c r="D146" s="95"/>
      <c r="E146" s="95"/>
      <c r="F146" s="95"/>
      <c r="G146" s="95"/>
    </row>
    <row r="147" spans="1:7">
      <c r="A147" s="95"/>
      <c r="B147" s="95"/>
      <c r="C147" s="95"/>
      <c r="D147" s="95"/>
      <c r="E147" s="95"/>
      <c r="F147" s="95"/>
      <c r="G147" s="95"/>
    </row>
    <row r="148" spans="1:7">
      <c r="A148" s="95"/>
      <c r="B148" s="95"/>
      <c r="C148" s="95"/>
      <c r="D148" s="95"/>
      <c r="E148" s="95"/>
      <c r="F148" s="95"/>
      <c r="G148" s="95"/>
    </row>
    <row r="149" spans="1:7">
      <c r="A149" s="95"/>
      <c r="B149" s="95"/>
      <c r="C149" s="95"/>
      <c r="D149" s="95"/>
      <c r="E149" s="95"/>
      <c r="F149" s="95"/>
      <c r="G149" s="95"/>
    </row>
    <row r="150" spans="1:7">
      <c r="A150" s="95"/>
      <c r="B150" s="95"/>
      <c r="C150" s="95"/>
      <c r="D150" s="95"/>
      <c r="E150" s="95"/>
      <c r="F150" s="95"/>
      <c r="G150" s="95"/>
    </row>
    <row r="151" spans="1:7">
      <c r="A151" s="95"/>
      <c r="B151" s="95"/>
      <c r="C151" s="95"/>
      <c r="D151" s="95"/>
      <c r="E151" s="95"/>
      <c r="F151" s="95"/>
      <c r="G151" s="95"/>
    </row>
    <row r="152" spans="1:7">
      <c r="A152" s="95"/>
      <c r="B152" s="95"/>
      <c r="C152" s="95"/>
      <c r="D152" s="95"/>
      <c r="E152" s="95"/>
      <c r="F152" s="95"/>
      <c r="G152" s="95"/>
    </row>
    <row r="153" spans="1:7">
      <c r="A153" s="95"/>
      <c r="B153" s="95"/>
      <c r="C153" s="95"/>
      <c r="D153" s="95"/>
      <c r="E153" s="95"/>
      <c r="F153" s="95"/>
      <c r="G153" s="95"/>
    </row>
    <row r="154" spans="1:7">
      <c r="A154" s="95"/>
      <c r="B154" s="95"/>
      <c r="C154" s="95"/>
      <c r="D154" s="95"/>
      <c r="E154" s="95"/>
      <c r="F154" s="95"/>
      <c r="G154" s="95"/>
    </row>
    <row r="155" spans="1:7">
      <c r="A155" s="95"/>
      <c r="B155" s="95"/>
      <c r="C155" s="95"/>
      <c r="D155" s="95"/>
      <c r="E155" s="95"/>
      <c r="F155" s="95"/>
      <c r="G155" s="95"/>
    </row>
    <row r="156" spans="1:7">
      <c r="A156" s="95"/>
      <c r="B156" s="95"/>
      <c r="C156" s="95"/>
      <c r="D156" s="95"/>
      <c r="E156" s="95"/>
      <c r="F156" s="95"/>
      <c r="G156" s="95"/>
    </row>
    <row r="157" spans="1:7">
      <c r="A157" s="95"/>
      <c r="B157" s="95"/>
      <c r="C157" s="95"/>
      <c r="D157" s="95"/>
      <c r="E157" s="95"/>
      <c r="F157" s="95"/>
      <c r="G157" s="95"/>
    </row>
    <row r="158" spans="1:7">
      <c r="A158" s="95"/>
      <c r="B158" s="95"/>
      <c r="C158" s="95"/>
      <c r="D158" s="95"/>
      <c r="E158" s="95"/>
      <c r="F158" s="95"/>
      <c r="G158" s="95"/>
    </row>
    <row r="159" spans="1:7">
      <c r="A159" s="95"/>
      <c r="B159" s="95"/>
      <c r="C159" s="95"/>
      <c r="D159" s="95"/>
      <c r="E159" s="95"/>
      <c r="F159" s="95"/>
      <c r="G159" s="95"/>
    </row>
    <row r="160" spans="1:7">
      <c r="A160" s="95"/>
      <c r="B160" s="95"/>
      <c r="C160" s="95"/>
      <c r="D160" s="95"/>
      <c r="E160" s="95"/>
      <c r="F160" s="95"/>
      <c r="G160" s="95"/>
    </row>
    <row r="161" spans="1:7">
      <c r="A161" s="95"/>
      <c r="B161" s="95"/>
      <c r="C161" s="95"/>
      <c r="D161" s="95"/>
      <c r="E161" s="95"/>
      <c r="F161" s="95"/>
      <c r="G161" s="95"/>
    </row>
    <row r="162" spans="1:7">
      <c r="A162" s="95"/>
      <c r="B162" s="95"/>
      <c r="C162" s="95"/>
      <c r="D162" s="95"/>
      <c r="E162" s="95"/>
      <c r="F162" s="95"/>
      <c r="G162" s="95"/>
    </row>
    <row r="163" spans="1:7">
      <c r="A163" s="95"/>
      <c r="B163" s="95"/>
      <c r="C163" s="95"/>
      <c r="D163" s="95"/>
      <c r="E163" s="95"/>
      <c r="F163" s="95"/>
      <c r="G163" s="95"/>
    </row>
    <row r="164" spans="1:7">
      <c r="A164" s="95"/>
      <c r="B164" s="95"/>
      <c r="C164" s="95"/>
      <c r="D164" s="95"/>
      <c r="E164" s="95"/>
      <c r="F164" s="95"/>
      <c r="G164" s="95"/>
    </row>
    <row r="165" spans="1:7">
      <c r="A165" s="95"/>
      <c r="B165" s="95"/>
      <c r="C165" s="95"/>
      <c r="D165" s="95"/>
      <c r="E165" s="95"/>
      <c r="F165" s="95"/>
      <c r="G165" s="95"/>
    </row>
    <row r="166" spans="1:7">
      <c r="A166" s="95"/>
      <c r="B166" s="95"/>
      <c r="C166" s="95"/>
      <c r="D166" s="95"/>
      <c r="E166" s="95"/>
      <c r="F166" s="95"/>
      <c r="G166" s="95"/>
    </row>
    <row r="167" spans="1:7">
      <c r="A167" s="95"/>
      <c r="B167" s="95"/>
      <c r="C167" s="95"/>
      <c r="D167" s="95"/>
      <c r="E167" s="95"/>
      <c r="F167" s="95"/>
      <c r="G167" s="95"/>
    </row>
    <row r="168" spans="1:7">
      <c r="A168" s="95"/>
      <c r="B168" s="95"/>
      <c r="C168" s="95"/>
      <c r="D168" s="95"/>
      <c r="E168" s="95"/>
      <c r="F168" s="95"/>
      <c r="G168" s="95"/>
    </row>
    <row r="169" spans="1:7">
      <c r="A169" s="95"/>
      <c r="B169" s="95"/>
      <c r="C169" s="95"/>
      <c r="D169" s="95"/>
      <c r="E169" s="95"/>
      <c r="F169" s="95"/>
      <c r="G169" s="95"/>
    </row>
    <row r="170" spans="1:7">
      <c r="A170" s="95"/>
      <c r="B170" s="95"/>
      <c r="C170" s="95"/>
      <c r="D170" s="95"/>
      <c r="E170" s="95"/>
      <c r="F170" s="95"/>
      <c r="G170" s="95"/>
    </row>
    <row r="171" spans="1:7">
      <c r="A171" s="95"/>
      <c r="B171" s="95"/>
      <c r="C171" s="95"/>
      <c r="D171" s="95"/>
      <c r="E171" s="95"/>
      <c r="F171" s="95"/>
      <c r="G171" s="95"/>
    </row>
    <row r="172" spans="1:7">
      <c r="A172" s="95"/>
      <c r="B172" s="95"/>
      <c r="C172" s="95"/>
      <c r="D172" s="95"/>
      <c r="E172" s="95"/>
      <c r="F172" s="95"/>
      <c r="G172" s="95"/>
    </row>
    <row r="173" spans="1:7">
      <c r="A173" s="95"/>
      <c r="B173" s="95"/>
      <c r="C173" s="95"/>
      <c r="D173" s="95"/>
      <c r="E173" s="95"/>
      <c r="F173" s="95"/>
      <c r="G173" s="95"/>
    </row>
    <row r="174" spans="1:7">
      <c r="A174" s="95"/>
      <c r="B174" s="95"/>
      <c r="C174" s="95"/>
      <c r="D174" s="95"/>
      <c r="E174" s="95"/>
      <c r="F174" s="95"/>
      <c r="G174" s="95"/>
    </row>
    <row r="175" spans="1:7">
      <c r="A175" s="95"/>
      <c r="B175" s="95"/>
      <c r="C175" s="95"/>
      <c r="D175" s="95"/>
      <c r="E175" s="95"/>
      <c r="F175" s="95"/>
      <c r="G175" s="95"/>
    </row>
    <row r="176" spans="1:7">
      <c r="A176" s="95"/>
      <c r="B176" s="95"/>
      <c r="C176" s="95"/>
      <c r="D176" s="95"/>
      <c r="E176" s="95"/>
      <c r="F176" s="95"/>
      <c r="G176" s="95"/>
    </row>
    <row r="177" spans="1:7">
      <c r="A177" s="95"/>
      <c r="B177" s="95"/>
      <c r="C177" s="95"/>
      <c r="D177" s="95"/>
      <c r="E177" s="95"/>
      <c r="F177" s="95"/>
      <c r="G177" s="95"/>
    </row>
    <row r="178" spans="1:7">
      <c r="A178" s="95"/>
      <c r="B178" s="95"/>
      <c r="C178" s="95"/>
      <c r="D178" s="95"/>
      <c r="E178" s="95"/>
      <c r="F178" s="95"/>
      <c r="G178" s="95"/>
    </row>
    <row r="179" spans="1:7">
      <c r="A179" s="95"/>
      <c r="B179" s="95"/>
      <c r="C179" s="95"/>
      <c r="D179" s="95"/>
      <c r="E179" s="95"/>
      <c r="F179" s="95"/>
      <c r="G179" s="95"/>
    </row>
    <row r="180" spans="1:7">
      <c r="A180" s="95"/>
      <c r="B180" s="95"/>
      <c r="C180" s="95"/>
      <c r="D180" s="95"/>
      <c r="E180" s="95"/>
      <c r="F180" s="95"/>
      <c r="G180" s="95"/>
    </row>
    <row r="181" spans="1:7">
      <c r="A181" s="95"/>
      <c r="B181" s="95"/>
      <c r="C181" s="95"/>
      <c r="D181" s="95"/>
      <c r="E181" s="95"/>
      <c r="F181" s="95"/>
      <c r="G181" s="95"/>
    </row>
    <row r="182" spans="1:7">
      <c r="A182" s="95"/>
      <c r="B182" s="95"/>
      <c r="C182" s="95"/>
      <c r="D182" s="95"/>
      <c r="E182" s="95"/>
      <c r="F182" s="95"/>
      <c r="G182" s="95"/>
    </row>
    <row r="183" spans="1:7">
      <c r="A183" s="95"/>
      <c r="B183" s="95"/>
      <c r="C183" s="95"/>
      <c r="D183" s="95"/>
      <c r="E183" s="95"/>
      <c r="F183" s="95"/>
      <c r="G183" s="95"/>
    </row>
    <row r="184" spans="1:7">
      <c r="A184" s="95"/>
      <c r="B184" s="95"/>
      <c r="C184" s="95"/>
      <c r="D184" s="95"/>
      <c r="E184" s="95"/>
      <c r="F184" s="95"/>
      <c r="G184" s="95"/>
    </row>
    <row r="185" spans="1:7">
      <c r="A185" s="95"/>
      <c r="B185" s="95"/>
      <c r="C185" s="95"/>
      <c r="D185" s="95"/>
      <c r="E185" s="95"/>
      <c r="F185" s="95"/>
      <c r="G185" s="95"/>
    </row>
    <row r="186" spans="1:7">
      <c r="A186" s="95"/>
      <c r="B186" s="95"/>
      <c r="C186" s="95"/>
      <c r="D186" s="95"/>
      <c r="E186" s="95"/>
      <c r="F186" s="95"/>
      <c r="G186" s="95"/>
    </row>
    <row r="187" spans="1:7">
      <c r="A187" s="95"/>
      <c r="B187" s="95"/>
      <c r="C187" s="95"/>
      <c r="D187" s="95"/>
      <c r="E187" s="95"/>
      <c r="F187" s="95"/>
      <c r="G187" s="95"/>
    </row>
    <row r="188" spans="1:7">
      <c r="A188" s="95"/>
      <c r="B188" s="95"/>
      <c r="C188" s="95"/>
      <c r="D188" s="95"/>
      <c r="E188" s="95"/>
      <c r="F188" s="95"/>
      <c r="G188" s="95"/>
    </row>
    <row r="189" spans="1:7">
      <c r="A189" s="95"/>
      <c r="B189" s="95"/>
      <c r="C189" s="95"/>
      <c r="D189" s="95"/>
      <c r="E189" s="95"/>
      <c r="F189" s="95"/>
      <c r="G189" s="95"/>
    </row>
    <row r="190" spans="1:7">
      <c r="A190" s="95"/>
      <c r="B190" s="95"/>
      <c r="C190" s="95"/>
      <c r="D190" s="95"/>
      <c r="E190" s="95"/>
      <c r="F190" s="95"/>
      <c r="G190" s="95"/>
    </row>
    <row r="191" spans="1:7">
      <c r="A191" s="95"/>
      <c r="B191" s="95"/>
      <c r="C191" s="95"/>
      <c r="D191" s="95"/>
      <c r="E191" s="95"/>
      <c r="F191" s="95"/>
      <c r="G191" s="95"/>
    </row>
    <row r="192" spans="1:7">
      <c r="A192" s="95"/>
      <c r="B192" s="95"/>
      <c r="C192" s="95"/>
      <c r="D192" s="95"/>
      <c r="E192" s="95"/>
      <c r="F192" s="95"/>
      <c r="G192" s="95"/>
    </row>
    <row r="193" spans="1:7">
      <c r="A193" s="95"/>
      <c r="B193" s="95"/>
      <c r="C193" s="95"/>
      <c r="D193" s="95"/>
      <c r="E193" s="95"/>
      <c r="F193" s="95"/>
      <c r="G193" s="95"/>
    </row>
    <row r="194" spans="1:7">
      <c r="A194" s="95"/>
      <c r="B194" s="95"/>
      <c r="C194" s="95"/>
      <c r="D194" s="95"/>
      <c r="E194" s="95"/>
      <c r="F194" s="95"/>
      <c r="G194" s="95"/>
    </row>
    <row r="195" spans="1:7">
      <c r="A195" s="95"/>
      <c r="B195" s="95"/>
      <c r="C195" s="95"/>
      <c r="D195" s="95"/>
      <c r="E195" s="95"/>
      <c r="F195" s="95"/>
      <c r="G195" s="95"/>
    </row>
    <row r="196" spans="1:7">
      <c r="A196" s="95"/>
      <c r="B196" s="95"/>
      <c r="C196" s="95"/>
      <c r="D196" s="95"/>
      <c r="E196" s="95"/>
      <c r="F196" s="95"/>
      <c r="G196" s="95"/>
    </row>
    <row r="197" spans="1:7">
      <c r="A197" s="95"/>
      <c r="B197" s="95"/>
      <c r="C197" s="95"/>
      <c r="D197" s="95"/>
      <c r="E197" s="95"/>
      <c r="F197" s="95"/>
      <c r="G197" s="95"/>
    </row>
    <row r="198" spans="1:7">
      <c r="A198" s="95"/>
      <c r="B198" s="95"/>
      <c r="C198" s="95"/>
      <c r="D198" s="95"/>
      <c r="E198" s="95"/>
      <c r="F198" s="95"/>
      <c r="G198" s="95"/>
    </row>
    <row r="199" spans="1:7">
      <c r="A199" s="95"/>
      <c r="B199" s="95"/>
      <c r="C199" s="95"/>
      <c r="D199" s="95"/>
      <c r="E199" s="95"/>
      <c r="F199" s="95"/>
      <c r="G199" s="95"/>
    </row>
    <row r="200" spans="1:7">
      <c r="A200" s="95"/>
      <c r="B200" s="95"/>
      <c r="C200" s="95"/>
      <c r="D200" s="95"/>
      <c r="E200" s="95"/>
      <c r="F200" s="95"/>
      <c r="G200" s="95"/>
    </row>
    <row r="201" spans="1:7">
      <c r="A201" s="95"/>
      <c r="B201" s="95"/>
      <c r="C201" s="95"/>
      <c r="D201" s="95"/>
      <c r="E201" s="95"/>
      <c r="F201" s="95"/>
      <c r="G201" s="95"/>
    </row>
    <row r="202" spans="1:7">
      <c r="A202" s="95"/>
      <c r="B202" s="95"/>
      <c r="C202" s="95"/>
      <c r="D202" s="95"/>
      <c r="E202" s="95"/>
      <c r="F202" s="95"/>
      <c r="G202" s="95"/>
    </row>
    <row r="203" spans="1:7">
      <c r="A203" s="95"/>
      <c r="B203" s="95"/>
      <c r="C203" s="95"/>
      <c r="D203" s="95"/>
      <c r="E203" s="95"/>
      <c r="F203" s="95"/>
      <c r="G203" s="95"/>
    </row>
    <row r="204" spans="1:7">
      <c r="A204" s="95"/>
      <c r="B204" s="95"/>
      <c r="C204" s="95"/>
      <c r="D204" s="95"/>
      <c r="E204" s="95"/>
      <c r="F204" s="95"/>
      <c r="G204" s="95"/>
    </row>
    <row r="205" spans="1:7">
      <c r="A205" s="95"/>
      <c r="B205" s="95"/>
      <c r="C205" s="95"/>
      <c r="D205" s="95"/>
      <c r="E205" s="95"/>
      <c r="F205" s="95"/>
      <c r="G205" s="95"/>
    </row>
    <row r="206" spans="1:7">
      <c r="A206" s="95"/>
      <c r="B206" s="95"/>
      <c r="C206" s="95"/>
      <c r="D206" s="95"/>
      <c r="E206" s="95"/>
      <c r="F206" s="95"/>
      <c r="G206" s="95"/>
    </row>
    <row r="207" spans="1:7">
      <c r="A207" s="95"/>
      <c r="B207" s="95"/>
      <c r="C207" s="95"/>
      <c r="D207" s="95"/>
      <c r="E207" s="95"/>
      <c r="F207" s="95"/>
      <c r="G207" s="95"/>
    </row>
    <row r="208" spans="1:7">
      <c r="A208" s="95"/>
      <c r="B208" s="95"/>
      <c r="C208" s="95"/>
      <c r="D208" s="95"/>
      <c r="E208" s="95"/>
      <c r="F208" s="95"/>
      <c r="G208" s="95"/>
    </row>
    <row r="209" spans="1:7">
      <c r="A209" s="95"/>
      <c r="B209" s="95"/>
      <c r="C209" s="95"/>
      <c r="D209" s="95"/>
      <c r="E209" s="95"/>
      <c r="F209" s="95"/>
      <c r="G209" s="95"/>
    </row>
    <row r="210" spans="1:7">
      <c r="A210" s="95"/>
      <c r="B210" s="95"/>
      <c r="C210" s="95"/>
      <c r="D210" s="95"/>
      <c r="E210" s="95"/>
      <c r="F210" s="95"/>
      <c r="G210" s="95"/>
    </row>
    <row r="211" spans="1:7">
      <c r="A211" s="95"/>
      <c r="B211" s="95"/>
      <c r="C211" s="95"/>
      <c r="D211" s="95"/>
      <c r="E211" s="95"/>
      <c r="F211" s="95"/>
      <c r="G211" s="95"/>
    </row>
    <row r="212" spans="1:7">
      <c r="A212" s="95"/>
      <c r="B212" s="95"/>
      <c r="C212" s="95"/>
      <c r="D212" s="95"/>
      <c r="E212" s="95"/>
      <c r="F212" s="95"/>
      <c r="G212" s="95"/>
    </row>
    <row r="213" spans="1:7">
      <c r="A213" s="95"/>
      <c r="B213" s="95"/>
      <c r="C213" s="95"/>
      <c r="D213" s="95"/>
      <c r="E213" s="95"/>
      <c r="F213" s="95"/>
      <c r="G213" s="95"/>
    </row>
    <row r="214" spans="1:7">
      <c r="A214" s="95"/>
      <c r="B214" s="95"/>
      <c r="C214" s="95"/>
      <c r="D214" s="95"/>
      <c r="E214" s="95"/>
      <c r="F214" s="95"/>
      <c r="G214" s="95"/>
    </row>
    <row r="215" spans="1:7">
      <c r="A215" s="95"/>
      <c r="B215" s="95"/>
      <c r="C215" s="95"/>
      <c r="D215" s="95"/>
      <c r="E215" s="95"/>
      <c r="F215" s="95"/>
      <c r="G215" s="95"/>
    </row>
    <row r="216" spans="1:7">
      <c r="A216" s="95"/>
      <c r="B216" s="95"/>
      <c r="C216" s="95"/>
      <c r="D216" s="95"/>
      <c r="E216" s="95"/>
      <c r="F216" s="95"/>
      <c r="G216" s="95"/>
    </row>
    <row r="217" spans="1:7">
      <c r="A217" s="95"/>
      <c r="B217" s="95"/>
      <c r="C217" s="95"/>
      <c r="D217" s="95"/>
      <c r="E217" s="95"/>
      <c r="F217" s="95"/>
      <c r="G217" s="95"/>
    </row>
    <row r="218" spans="1:7">
      <c r="A218" s="95"/>
      <c r="B218" s="95"/>
      <c r="C218" s="95"/>
      <c r="D218" s="95"/>
      <c r="E218" s="95"/>
      <c r="F218" s="95"/>
      <c r="G218" s="95"/>
    </row>
    <row r="219" spans="1:7">
      <c r="A219" s="95"/>
      <c r="B219" s="95"/>
      <c r="C219" s="95"/>
      <c r="D219" s="95"/>
      <c r="E219" s="95"/>
      <c r="F219" s="95"/>
      <c r="G219" s="95"/>
    </row>
    <row r="220" spans="1:7">
      <c r="A220" s="95"/>
      <c r="B220" s="95"/>
      <c r="C220" s="95"/>
      <c r="D220" s="95"/>
      <c r="E220" s="95"/>
      <c r="F220" s="95"/>
      <c r="G220" s="95"/>
    </row>
    <row r="221" spans="1:7">
      <c r="A221" s="95"/>
      <c r="B221" s="95"/>
      <c r="C221" s="95"/>
      <c r="D221" s="95"/>
      <c r="E221" s="95"/>
      <c r="F221" s="95"/>
      <c r="G221" s="95"/>
    </row>
    <row r="222" spans="1:7">
      <c r="A222" s="95"/>
      <c r="B222" s="95"/>
      <c r="C222" s="95"/>
      <c r="D222" s="95"/>
      <c r="E222" s="95"/>
      <c r="F222" s="95"/>
      <c r="G222" s="95"/>
    </row>
    <row r="223" spans="1:7">
      <c r="A223" s="95"/>
      <c r="B223" s="95"/>
      <c r="C223" s="95"/>
      <c r="D223" s="95"/>
      <c r="E223" s="95"/>
      <c r="F223" s="95"/>
      <c r="G223" s="95"/>
    </row>
    <row r="224" spans="1:7">
      <c r="A224" s="95"/>
      <c r="B224" s="95"/>
      <c r="C224" s="95"/>
      <c r="D224" s="95"/>
      <c r="E224" s="95"/>
      <c r="F224" s="95"/>
      <c r="G224" s="95"/>
    </row>
    <row r="225" spans="1:7">
      <c r="A225" s="95"/>
      <c r="B225" s="95"/>
      <c r="C225" s="95"/>
      <c r="D225" s="95"/>
      <c r="E225" s="95"/>
      <c r="F225" s="95"/>
      <c r="G225" s="95"/>
    </row>
    <row r="226" spans="1:7">
      <c r="A226" s="95"/>
      <c r="B226" s="95"/>
      <c r="C226" s="95"/>
      <c r="D226" s="95"/>
      <c r="E226" s="95"/>
      <c r="F226" s="95"/>
      <c r="G226" s="95"/>
    </row>
    <row r="227" spans="1:7">
      <c r="A227" s="95"/>
      <c r="B227" s="95"/>
      <c r="C227" s="95"/>
      <c r="D227" s="95"/>
      <c r="E227" s="95"/>
      <c r="F227" s="95"/>
      <c r="G227" s="95"/>
    </row>
    <row r="228" spans="1:7">
      <c r="A228" s="95"/>
      <c r="B228" s="95"/>
      <c r="C228" s="95"/>
      <c r="D228" s="95"/>
      <c r="E228" s="95"/>
      <c r="F228" s="95"/>
      <c r="G228" s="95"/>
    </row>
    <row r="229" spans="1:7">
      <c r="A229" s="95"/>
      <c r="B229" s="95"/>
      <c r="C229" s="95"/>
      <c r="D229" s="95"/>
      <c r="E229" s="95"/>
      <c r="F229" s="95"/>
      <c r="G229" s="95"/>
    </row>
    <row r="230" spans="1:7">
      <c r="A230" s="95"/>
      <c r="B230" s="95"/>
      <c r="C230" s="95"/>
      <c r="D230" s="95"/>
      <c r="E230" s="95"/>
      <c r="F230" s="95"/>
      <c r="G230" s="95"/>
    </row>
    <row r="231" spans="1:7">
      <c r="A231" s="95"/>
      <c r="B231" s="95"/>
      <c r="C231" s="95"/>
      <c r="D231" s="95"/>
      <c r="E231" s="95"/>
      <c r="F231" s="95"/>
      <c r="G231" s="95"/>
    </row>
    <row r="232" spans="1:7">
      <c r="A232" s="95"/>
      <c r="B232" s="95"/>
      <c r="C232" s="95"/>
      <c r="D232" s="95"/>
      <c r="E232" s="95"/>
      <c r="F232" s="95"/>
      <c r="G232" s="95"/>
    </row>
    <row r="233" spans="1:7">
      <c r="A233" s="95"/>
      <c r="B233" s="95"/>
      <c r="C233" s="95"/>
      <c r="D233" s="95"/>
      <c r="E233" s="95"/>
      <c r="F233" s="95"/>
      <c r="G233" s="95"/>
    </row>
    <row r="234" spans="1:7">
      <c r="A234" s="95"/>
      <c r="B234" s="95"/>
      <c r="C234" s="95"/>
      <c r="D234" s="95"/>
      <c r="E234" s="95"/>
      <c r="F234" s="95"/>
      <c r="G234" s="95"/>
    </row>
    <row r="235" spans="1:7">
      <c r="A235" s="95"/>
      <c r="B235" s="95"/>
      <c r="C235" s="95"/>
      <c r="D235" s="95"/>
      <c r="E235" s="95"/>
      <c r="F235" s="95"/>
      <c r="G235" s="95"/>
    </row>
    <row r="236" spans="1:7">
      <c r="A236" s="95"/>
      <c r="B236" s="95"/>
      <c r="C236" s="95"/>
      <c r="D236" s="95"/>
      <c r="E236" s="95"/>
      <c r="F236" s="95"/>
      <c r="G236" s="95"/>
    </row>
    <row r="237" spans="1:7">
      <c r="A237" s="95"/>
      <c r="B237" s="95"/>
      <c r="C237" s="95"/>
      <c r="D237" s="95"/>
      <c r="E237" s="95"/>
      <c r="F237" s="95"/>
      <c r="G237" s="95"/>
    </row>
    <row r="238" spans="1:7">
      <c r="A238" s="95"/>
      <c r="B238" s="95"/>
      <c r="C238" s="95"/>
      <c r="D238" s="95"/>
      <c r="E238" s="95"/>
      <c r="F238" s="95"/>
      <c r="G238" s="95"/>
    </row>
    <row r="239" spans="1:7">
      <c r="A239" s="95"/>
      <c r="B239" s="95"/>
      <c r="C239" s="95"/>
      <c r="D239" s="95"/>
      <c r="E239" s="95"/>
      <c r="F239" s="95"/>
      <c r="G239" s="95"/>
    </row>
    <row r="240" spans="1:7">
      <c r="A240" s="95"/>
      <c r="B240" s="95"/>
      <c r="C240" s="95"/>
      <c r="D240" s="95"/>
      <c r="E240" s="95"/>
      <c r="F240" s="95"/>
      <c r="G240" s="95"/>
    </row>
    <row r="241" spans="1:7">
      <c r="A241" s="95"/>
      <c r="B241" s="95"/>
      <c r="C241" s="95"/>
      <c r="D241" s="95"/>
      <c r="E241" s="95"/>
      <c r="F241" s="95"/>
      <c r="G241" s="95"/>
    </row>
    <row r="242" spans="1:7">
      <c r="A242" s="95"/>
      <c r="B242" s="95"/>
      <c r="C242" s="95"/>
      <c r="D242" s="95"/>
      <c r="E242" s="95"/>
      <c r="F242" s="95"/>
      <c r="G242" s="95"/>
    </row>
    <row r="243" spans="1:7">
      <c r="A243" s="95"/>
      <c r="B243" s="95"/>
      <c r="C243" s="95"/>
      <c r="D243" s="95"/>
      <c r="E243" s="95"/>
      <c r="F243" s="95"/>
      <c r="G243" s="95"/>
    </row>
    <row r="244" spans="1:7">
      <c r="A244" s="95"/>
      <c r="B244" s="95"/>
      <c r="C244" s="95"/>
      <c r="D244" s="95"/>
      <c r="E244" s="95"/>
      <c r="F244" s="95"/>
      <c r="G244" s="95"/>
    </row>
    <row r="245" spans="1:7">
      <c r="A245" s="95"/>
      <c r="B245" s="95"/>
      <c r="C245" s="95"/>
      <c r="D245" s="95"/>
      <c r="E245" s="95"/>
      <c r="F245" s="95"/>
      <c r="G245" s="95"/>
    </row>
    <row r="246" spans="1:7">
      <c r="A246" s="95"/>
      <c r="B246" s="95"/>
      <c r="C246" s="95"/>
      <c r="D246" s="95"/>
      <c r="E246" s="95"/>
      <c r="F246" s="95"/>
      <c r="G246" s="95"/>
    </row>
  </sheetData>
  <mergeCells count="7">
    <mergeCell ref="C15:F15"/>
    <mergeCell ref="B3:F3"/>
    <mergeCell ref="B7:F7"/>
    <mergeCell ref="C9:F9"/>
    <mergeCell ref="C14:F14"/>
    <mergeCell ref="C10:F10"/>
    <mergeCell ref="B12:F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73277"/>
  </sheetPr>
  <dimension ref="A1:T98"/>
  <sheetViews>
    <sheetView showGridLines="0" zoomScale="85" zoomScaleNormal="85" workbookViewId="0">
      <pane ySplit="6" topLeftCell="A7" activePane="bottomLeft" state="frozen"/>
      <selection pane="bottomLeft" activeCell="E11" sqref="E11"/>
    </sheetView>
  </sheetViews>
  <sheetFormatPr baseColWidth="10" defaultColWidth="11.5546875" defaultRowHeight="14.4" outlineLevelRow="4"/>
  <cols>
    <col min="1" max="1" width="3.109375" style="283" customWidth="1"/>
    <col min="2" max="2" width="3.109375" style="114" customWidth="1"/>
    <col min="3" max="3" width="3.109375" style="283" customWidth="1"/>
    <col min="4" max="4" width="7.33203125" style="283" customWidth="1"/>
    <col min="5" max="5" width="32.6640625" style="283" customWidth="1"/>
    <col min="6" max="7" width="11.5546875" style="283"/>
    <col min="8" max="8" width="11.5546875" style="283" customWidth="1"/>
    <col min="9" max="9" width="11.5546875" style="283"/>
    <col min="10" max="10" width="11.5546875" style="283" customWidth="1"/>
    <col min="11" max="12" width="11.5546875" style="283"/>
    <col min="13" max="13" width="10.88671875" style="283" customWidth="1"/>
    <col min="14" max="14" width="12.5546875" style="283" customWidth="1"/>
    <col min="15" max="15" width="13.5546875" style="283" customWidth="1"/>
    <col min="16" max="16" width="13" style="283" customWidth="1"/>
    <col min="17" max="16384" width="11.5546875" style="283"/>
  </cols>
  <sheetData>
    <row r="1" spans="1:20" ht="25.95" customHeight="1" thickBot="1">
      <c r="D1" s="368"/>
      <c r="E1" s="619" t="s">
        <v>24</v>
      </c>
      <c r="F1" s="619"/>
      <c r="G1" s="619"/>
      <c r="H1" s="619"/>
      <c r="I1" s="619"/>
      <c r="J1" s="619"/>
      <c r="K1" s="619"/>
      <c r="L1" s="619"/>
      <c r="M1" s="619"/>
    </row>
    <row r="2" spans="1:20" ht="10.95" customHeight="1" thickTop="1">
      <c r="D2" s="2"/>
      <c r="E2" s="150"/>
      <c r="F2" s="150"/>
      <c r="G2" s="150"/>
      <c r="H2" s="150"/>
      <c r="I2" s="150"/>
      <c r="J2" s="150"/>
      <c r="K2" s="150"/>
      <c r="L2" s="150"/>
      <c r="M2" s="150"/>
    </row>
    <row r="3" spans="1:20" ht="28.95" customHeight="1">
      <c r="D3" s="2"/>
      <c r="E3" s="620" t="str">
        <f>HYPERLINK("#Déchets!E"&amp;TEXT(MATCH(E8,C1:C912,0),"#"),E8)</f>
        <v>Hypothèses</v>
      </c>
      <c r="F3" s="621"/>
      <c r="G3" s="621"/>
      <c r="H3" s="621"/>
      <c r="I3" s="621"/>
      <c r="J3" s="631" t="str">
        <f>HYPERLINK("#Déchets!E"&amp;TEXT(MATCH(E80,C1:C912,0),"#"),E80)</f>
        <v>Résultats</v>
      </c>
      <c r="K3" s="631"/>
      <c r="L3" s="631"/>
      <c r="M3" s="631"/>
      <c r="O3" s="623" t="s">
        <v>181</v>
      </c>
      <c r="P3" s="623"/>
      <c r="Q3" s="623"/>
      <c r="R3" s="628" t="s">
        <v>137</v>
      </c>
      <c r="S3" s="628"/>
      <c r="T3" s="628"/>
    </row>
    <row r="4" spans="1:20" ht="26.4" customHeight="1">
      <c r="D4" s="184"/>
      <c r="E4" s="357" t="str">
        <f>IFERROR(IF(Moteur!$D$14=3,HYPERLINK("#"&amp;$E$1&amp;"!E"&amp;TEXT(MATCH(Moteur!F37,$C1:$C912,0),"#"),Moteur!F37),IF(Moteur!$D$14=2,HYPERLINK("#"&amp;$E$1&amp;"!E"&amp;TEXT(MATCH(Moteur!F40,$C1:$C912,0),"#"),Moteur!F40),HYPERLINK("#"&amp;$E$1&amp;"!E"&amp;TEXT(MATCH(Moteur!F46,$C1:$C912,0),"#"),Moteur!F46))),"")</f>
        <v>Quantité de déchets</v>
      </c>
      <c r="F4" s="624" t="str">
        <f>IFERROR(IF(Moteur!$D$14=3,HYPERLINK("#"&amp;$E$1&amp;"!E"&amp;TEXT(MATCH(Moteur!G37,$C1:$C912,0),"#"),Moteur!G37),IF(Moteur!$D$14=2,HYPERLINK("#"&amp;$E$1&amp;"!E"&amp;TEXT(MATCH(Moteur!G40,$C1:$C912,0),"#"),Moteur!G40),HYPERLINK("#"&amp;$E$1&amp;"!E"&amp;TEXT(MATCH(Moteur!G46,$C1:$C912,0),"#"),Moteur!G46))),"")</f>
        <v>Installations de stockage</v>
      </c>
      <c r="G4" s="625"/>
      <c r="H4" s="624" t="str">
        <f>IFERROR(IF(Moteur!$D$14=3,HYPERLINK("#"&amp;$E$1&amp;"!E"&amp;TEXT(MATCH(Moteur!H37,$C1:$C912,0),"#"),Moteur!H37),IF(Moteur!$D$14=2,HYPERLINK("#"&amp;$E$1&amp;"!E"&amp;TEXT(MATCH(Moteur!H40,$C1:$C912,0),"#"),Moteur!H40),HYPERLINK("#"&amp;$E$1&amp;"!E"&amp;TEXT(MATCH(Moteur!H46,$C1:$C912,0),"#"),Moteur!H46))),"")</f>
        <v>Eaux usées</v>
      </c>
      <c r="I4" s="625"/>
      <c r="J4" s="640" t="str">
        <f>HYPERLINK("#"&amp;$E$1&amp;"!E"&amp;TEXT(MATCH(F83,$C1:$C912,0),"#"),F83)</f>
        <v>Emissions de gaz à effet de serre</v>
      </c>
      <c r="K4" s="633"/>
      <c r="L4" s="640"/>
      <c r="M4" s="633"/>
      <c r="O4" s="359" t="str">
        <f>IF(Moteur!$D$6=3,HYPERLINK("#"&amp;Moteur!F5&amp;"!E1",Moteur!F5),IF(Moteur!$D$6=2,HYPERLINK("#"&amp;Moteur!F6&amp;"!E1",Moteur!F6),HYPERLINK("#"&amp;Moteur!F7&amp;"!E1",Moteur!F7)))</f>
        <v>Cadrage</v>
      </c>
      <c r="P4" s="359" t="str">
        <f>IF(Moteur!$D$6=3,HYPERLINK("#"&amp;Moteur!G5&amp;"!E1",Moteur!G5),IF(Moteur!$D$6=2,HYPERLINK("#"&amp;Moteur!G6&amp;"!E1",Moteur!G6),HYPERLINK("#"&amp;Moteur!G7&amp;"!E1",Moteur!G7)))</f>
        <v>Industrie</v>
      </c>
      <c r="Q4" s="360" t="str">
        <f>IF(Moteur!$D$6=3,HYPERLINK("#"&amp;Moteur!H5&amp;"!E1",Moteur!H5),IF(Moteur!$D$6=2,HYPERLINK("#"&amp;Moteur!H6&amp;"!E1",Moteur!H6),HYPERLINK("#"&amp;Moteur!H7&amp;"!E1",Moteur!H7)))</f>
        <v>Agriculture</v>
      </c>
      <c r="R4" s="362" t="str">
        <f>IF(Moteur!$D$6=3,HYPERLINK("#"&amp;Moteur!J5&amp;"!E1",Moteur!J5),IF(Moteur!$D$6=2,HYPERLINK("#"&amp;Moteur!J5&amp;"!E1",Moteur!J5),HYPERLINK("#"&amp;Moteur!J5&amp;"!E1",Moteur!J5)))</f>
        <v>Bilans</v>
      </c>
      <c r="S4" s="358" t="str">
        <f>IF(Moteur!$D$6=3,HYPERLINK("#"&amp;Moteur!K5&amp;"!E1",Moteur!K5),IF(Moteur!$D$6=2,HYPERLINK("#"&amp;Moteur!K5&amp;"!E1",Moteur!K5),HYPERLINK("#"&amp;Moteur!K5&amp;"!E1",Moteur!K5)))</f>
        <v>GES</v>
      </c>
      <c r="T4" s="478">
        <f>IF(Moteur!$D$6=3,HYPERLINK("#"&amp;Moteur!L5&amp;"!E1",Moteur!L5),IF(Moteur!$D$6=2,HYPERLINK("#"&amp;Moteur!L5&amp;"!E1",Moteur!L5),HYPERLINK("#"&amp;Moteur!L5&amp;"!E1",Moteur!L5)))</f>
        <v>0</v>
      </c>
    </row>
    <row r="5" spans="1:20" ht="26.4" customHeight="1">
      <c r="D5" s="184"/>
      <c r="E5" s="357" t="str">
        <f>IFERROR(IF(Moteur!$D$14=3,HYPERLINK("#"&amp;$E$1&amp;"!E"&amp;TEXT(MATCH(Moteur!F40,$C1:$C912,0),"#"),Moteur!F40),IF(Moteur!$D$14=2,HYPERLINK("#"&amp;$E$1&amp;"!E"&amp;TEXT(MATCH(Moteur!F46,$C1:$C912,0),"#"),Moteur!F46),HYPERLINK("#"&amp;$E$1&amp;"!E"&amp;TEXT(MATCH(Moteur!F17,$C1:$C912,0),"#"),Moteur!F17))),"")</f>
        <v/>
      </c>
      <c r="F5" s="624" t="str">
        <f>IFERROR(IF(Moteur!$D$14=3,HYPERLINK("#"&amp;$E$1&amp;"!E"&amp;TEXT(MATCH(Moteur!G15,$C1:$C912,0),"#"),Moteur!G15),IF(Moteur!$D$14=2,HYPERLINK("#"&amp;$E$1&amp;"!E"&amp;TEXT(MATCH(Moteur!G16,$C1:$C912,0),"#"),Moteur!G16),HYPERLINK("#"&amp;$E$1&amp;"!E"&amp;TEXT(MATCH(Moteur!G17,$C1:$C912,0),"#"),Moteur!G17))),"")</f>
        <v/>
      </c>
      <c r="G5" s="625"/>
      <c r="H5" s="624" t="str">
        <f>IFERROR(IF(Moteur!$D$14=3,HYPERLINK("#"&amp;$E$1&amp;"!E"&amp;TEXT(MATCH(Moteur!H15,$C1:$C912,0),"#"),Moteur!H15),IF(Moteur!$D$14=2,HYPERLINK("#"&amp;$E$1&amp;"!E"&amp;TEXT(MATCH(Moteur!H16,$C1:$C912,0),"#"),Moteur!H16),HYPERLINK("#"&amp;$E$1&amp;"!E"&amp;TEXT(MATCH(Moteur!H17,$C1:$C912,0),"#"),Moteur!H17))),"")</f>
        <v/>
      </c>
      <c r="I5" s="625"/>
      <c r="J5" s="632"/>
      <c r="K5" s="633"/>
      <c r="L5" s="632"/>
      <c r="M5" s="633"/>
      <c r="O5" s="359" t="str">
        <f>IF(Moteur!$D$6=3,HYPERLINK("#"&amp;Moteur!F6&amp;"!E1",Moteur!F6),IF(Moteur!$D$6=2,HYPERLINK("#"&amp;Moteur!F7&amp;"!E1",Moteur!F7),""))</f>
        <v>Energie</v>
      </c>
      <c r="P5" s="359" t="str">
        <f>IF(Moteur!$D$6=3,HYPERLINK("#"&amp;Moteur!G6&amp;"!E1",Moteur!G6),IF(Moteur!$D$6=2,HYPERLINK("#"&amp;Moteur!G7&amp;"!E1",Moteur!G7),""))</f>
        <v>Transports</v>
      </c>
      <c r="Q5" s="361" t="str">
        <f>IF(Moteur!$D$6=3,HYPERLINK("#"&amp;Moteur!H6&amp;"!E1",Moteur!H6),IF(Moteur!$D$6=2,HYPERLINK("#"&amp;Moteur!H7&amp;"!E1",Moteur!H7),""))</f>
        <v>Déchets</v>
      </c>
      <c r="R5" s="479">
        <f>IF(Moteur!$D$6=3,HYPERLINK("#"&amp;Moteur!J6&amp;"!E1",Moteur!J6),IF(Moteur!$D$6=2,HYPERLINK("#"&amp;Moteur!J7&amp;"!E1",Moteur!J6),HYPERLINK("#"&amp;Moteur!J5&amp;"!E1",Moteur!J6)))</f>
        <v>0</v>
      </c>
      <c r="S5" s="358" t="str">
        <f>IF(Moteur!$D$6=3,HYPERLINK("#"&amp;Moteur!K6&amp;"!E1",Moteur!K6),IF(Moteur!$D$6=2,HYPERLINK("#"&amp;Moteur!K7&amp;"!E1",Moteur!K6),HYPERLINK("#"&amp;Moteur!K5&amp;"!E1",Moteur!K6)))</f>
        <v xml:space="preserve"> </v>
      </c>
      <c r="T5" s="358" t="str">
        <f>IF(Moteur!$D$6=3,HYPERLINK("#"&amp;Moteur!L6&amp;"!E1",Moteur!L6),IF(Moteur!$D$6=2,HYPERLINK("#"&amp;Moteur!L7&amp;"!E1",Moteur!L6),HYPERLINK("#"&amp;Moteur!L5&amp;"!E1",Moteur!L6)))</f>
        <v xml:space="preserve"> </v>
      </c>
    </row>
    <row r="6" spans="1:20" ht="11.4" customHeight="1">
      <c r="E6" s="152"/>
      <c r="F6" s="152"/>
      <c r="G6" s="152"/>
      <c r="H6" s="152"/>
      <c r="I6" s="152"/>
      <c r="J6" s="152"/>
      <c r="K6" s="152"/>
    </row>
    <row r="8" spans="1:20" ht="32.4" customHeight="1" thickBot="1">
      <c r="A8" s="363"/>
      <c r="C8" s="151" t="str">
        <f>IF(ISBLANK(E8),IF(ISBLANK(F8),"",F8),E8)</f>
        <v>Hypothèses</v>
      </c>
      <c r="D8" s="369"/>
      <c r="E8" s="617" t="s">
        <v>134</v>
      </c>
      <c r="F8" s="617"/>
      <c r="G8" s="617"/>
      <c r="H8" s="617"/>
      <c r="I8" s="617"/>
      <c r="J8" s="617"/>
      <c r="K8" s="617"/>
      <c r="L8" s="617"/>
      <c r="M8" s="369"/>
      <c r="N8" s="149"/>
    </row>
    <row r="9" spans="1:20" ht="15" thickTop="1">
      <c r="A9" s="363"/>
      <c r="C9" s="151" t="str">
        <f t="shared" ref="C9:C64" si="0">IF(ISBLANK(E9),IF(ISBLANK(F9),"",F9),E9)</f>
        <v/>
      </c>
      <c r="D9" s="3"/>
      <c r="E9" s="3"/>
      <c r="F9" s="3"/>
      <c r="G9" s="3"/>
      <c r="H9" s="3"/>
      <c r="I9" s="3"/>
      <c r="J9" s="3"/>
      <c r="K9" s="3"/>
      <c r="L9" s="3"/>
      <c r="M9" s="3"/>
    </row>
    <row r="10" spans="1:20" ht="14.4" customHeight="1">
      <c r="A10" s="363"/>
      <c r="C10" s="151" t="str">
        <f t="shared" si="0"/>
        <v/>
      </c>
      <c r="D10" s="112"/>
      <c r="E10" s="113"/>
      <c r="F10" s="113"/>
      <c r="G10" s="113"/>
      <c r="H10" s="113"/>
      <c r="I10" s="113"/>
      <c r="J10" s="113"/>
      <c r="K10" s="113"/>
      <c r="L10" s="113"/>
      <c r="M10" s="3"/>
    </row>
    <row r="11" spans="1:20" ht="28.8" thickBot="1">
      <c r="A11" s="363"/>
      <c r="B11" s="364"/>
      <c r="C11" s="151" t="str">
        <f t="shared" si="0"/>
        <v>Quantité de déchets</v>
      </c>
      <c r="D11" s="369"/>
      <c r="E11" s="370"/>
      <c r="F11" s="617" t="s">
        <v>784</v>
      </c>
      <c r="G11" s="617"/>
      <c r="H11" s="617"/>
      <c r="I11" s="617"/>
      <c r="J11" s="617"/>
      <c r="K11" s="617"/>
      <c r="L11" s="617"/>
      <c r="M11" s="617"/>
    </row>
    <row r="12" spans="1:20" ht="15" thickTop="1">
      <c r="A12" s="363"/>
      <c r="B12" s="364"/>
      <c r="C12" s="151" t="str">
        <f t="shared" si="0"/>
        <v/>
      </c>
    </row>
    <row r="13" spans="1:20" outlineLevel="1">
      <c r="A13" s="363"/>
      <c r="B13" s="364"/>
      <c r="C13" s="151" t="str">
        <f t="shared" si="0"/>
        <v/>
      </c>
      <c r="D13" s="115"/>
      <c r="E13" s="115"/>
      <c r="F13" s="115"/>
      <c r="G13" s="115"/>
      <c r="H13" s="115"/>
      <c r="I13" s="115"/>
      <c r="J13" s="115"/>
      <c r="K13" s="115"/>
      <c r="L13" s="115"/>
      <c r="M13" s="115"/>
    </row>
    <row r="14" spans="1:20" outlineLevel="1">
      <c r="A14" s="363"/>
      <c r="B14" s="364"/>
      <c r="C14" s="151" t="str">
        <f t="shared" si="0"/>
        <v/>
      </c>
      <c r="D14" s="115"/>
      <c r="E14" s="115"/>
      <c r="F14" s="115"/>
      <c r="G14" s="115"/>
      <c r="H14" s="115"/>
      <c r="I14" s="115"/>
      <c r="J14" s="115"/>
      <c r="K14" s="115"/>
      <c r="L14" s="115"/>
      <c r="M14" s="115"/>
    </row>
    <row r="15" spans="1:20" ht="15" outlineLevel="1" thickBot="1">
      <c r="A15" s="363"/>
      <c r="B15" s="364"/>
      <c r="C15" s="151" t="str">
        <f t="shared" si="0"/>
        <v>Evolution de la quantité des déchets ménagers et assimilation par filière de traitement (Mt)</v>
      </c>
      <c r="D15" s="115"/>
      <c r="E15" s="615" t="s">
        <v>785</v>
      </c>
      <c r="F15" s="615"/>
      <c r="G15" s="615"/>
      <c r="H15" s="615"/>
      <c r="I15" s="615"/>
      <c r="J15" s="615"/>
      <c r="K15" s="615"/>
      <c r="L15" s="615"/>
      <c r="M15" s="115"/>
    </row>
    <row r="16" spans="1:20" outlineLevel="2">
      <c r="A16" s="363"/>
      <c r="B16" s="364"/>
      <c r="C16" s="151" t="str">
        <f t="shared" si="0"/>
        <v>Mégatonne (Mt)</v>
      </c>
      <c r="D16" s="115"/>
      <c r="E16" s="200" t="s">
        <v>150</v>
      </c>
      <c r="F16" s="201" t="s">
        <v>677</v>
      </c>
      <c r="G16" s="201" t="s">
        <v>314</v>
      </c>
      <c r="H16" s="201" t="s">
        <v>125</v>
      </c>
      <c r="I16" s="201" t="s">
        <v>315</v>
      </c>
      <c r="J16" s="201" t="s">
        <v>316</v>
      </c>
      <c r="K16" s="201" t="s">
        <v>317</v>
      </c>
      <c r="L16" s="202" t="s">
        <v>133</v>
      </c>
      <c r="M16" s="115"/>
    </row>
    <row r="17" spans="1:13" outlineLevel="2">
      <c r="A17" s="363"/>
      <c r="B17" s="364"/>
      <c r="C17" s="151" t="str">
        <f t="shared" si="0"/>
        <v>Total DNDNI</v>
      </c>
      <c r="D17" s="115"/>
      <c r="E17" s="192" t="s">
        <v>786</v>
      </c>
      <c r="F17" s="132">
        <f>SUM(F18:F24)</f>
        <v>78.460000000000008</v>
      </c>
      <c r="G17" s="133"/>
      <c r="H17" s="133">
        <f>SUM(H18:H24)</f>
        <v>87.4</v>
      </c>
      <c r="I17" s="133"/>
      <c r="J17" s="133">
        <f>SUM(J18:J24)</f>
        <v>88.3</v>
      </c>
      <c r="K17" s="133"/>
      <c r="L17" s="194">
        <f>SUM(L18:L24)</f>
        <v>88.9</v>
      </c>
      <c r="M17" s="115"/>
    </row>
    <row r="18" spans="1:13" outlineLevel="2">
      <c r="A18" s="363"/>
      <c r="B18" s="364"/>
      <c r="C18" s="151" t="str">
        <f t="shared" si="0"/>
        <v xml:space="preserve">Compostage </v>
      </c>
      <c r="D18" s="115"/>
      <c r="E18" s="193" t="s">
        <v>1036</v>
      </c>
      <c r="F18" s="135">
        <v>11.9</v>
      </c>
      <c r="G18" s="136"/>
      <c r="H18" s="136">
        <v>13.4</v>
      </c>
      <c r="I18" s="136"/>
      <c r="J18" s="136">
        <v>13.8</v>
      </c>
      <c r="K18" s="136"/>
      <c r="L18" s="195">
        <v>13.9</v>
      </c>
      <c r="M18" s="115"/>
    </row>
    <row r="19" spans="1:13" outlineLevel="2">
      <c r="A19" s="363"/>
      <c r="B19" s="364"/>
      <c r="C19" s="151" t="str">
        <f t="shared" si="0"/>
        <v>Préparation et utilisation de CSR</v>
      </c>
      <c r="D19" s="115"/>
      <c r="E19" s="193" t="s">
        <v>1035</v>
      </c>
      <c r="F19" s="135">
        <v>0.4</v>
      </c>
      <c r="G19" s="136"/>
      <c r="H19" s="136">
        <v>3</v>
      </c>
      <c r="I19" s="136"/>
      <c r="J19" s="136">
        <v>3.5</v>
      </c>
      <c r="K19" s="136"/>
      <c r="L19" s="195">
        <v>4</v>
      </c>
      <c r="M19" s="115"/>
    </row>
    <row r="20" spans="1:13" outlineLevel="2">
      <c r="A20" s="363"/>
      <c r="B20" s="364"/>
      <c r="C20" s="151" t="str">
        <f t="shared" si="0"/>
        <v>Méthanisation (hors méthanisation à la ferme)</v>
      </c>
      <c r="D20" s="115"/>
      <c r="E20" s="193" t="s">
        <v>787</v>
      </c>
      <c r="F20" s="135">
        <v>0.92</v>
      </c>
      <c r="G20" s="136"/>
      <c r="H20" s="136">
        <v>2.5</v>
      </c>
      <c r="I20" s="136"/>
      <c r="J20" s="136">
        <v>2.75</v>
      </c>
      <c r="K20" s="136"/>
      <c r="L20" s="195">
        <v>3</v>
      </c>
      <c r="M20" s="115"/>
    </row>
    <row r="21" spans="1:13" outlineLevel="2">
      <c r="A21" s="363"/>
      <c r="B21" s="364"/>
      <c r="C21" s="151" t="str">
        <f t="shared" si="0"/>
        <v>Incinération avec valorisation</v>
      </c>
      <c r="D21" s="115"/>
      <c r="E21" s="193" t="s">
        <v>788</v>
      </c>
      <c r="F21" s="135">
        <v>14.41</v>
      </c>
      <c r="G21" s="136"/>
      <c r="H21" s="136">
        <v>16</v>
      </c>
      <c r="I21" s="136"/>
      <c r="J21" s="136">
        <v>16</v>
      </c>
      <c r="K21" s="136"/>
      <c r="L21" s="195">
        <v>16</v>
      </c>
      <c r="M21" s="115"/>
    </row>
    <row r="22" spans="1:13" outlineLevel="2">
      <c r="A22" s="363"/>
      <c r="B22" s="364"/>
      <c r="C22" s="151" t="str">
        <f t="shared" si="0"/>
        <v>Incinération sans récupération d’énergie</v>
      </c>
      <c r="D22" s="115"/>
      <c r="E22" s="193" t="s">
        <v>789</v>
      </c>
      <c r="F22" s="135">
        <v>0.05</v>
      </c>
      <c r="G22" s="136"/>
      <c r="H22" s="136"/>
      <c r="I22" s="136"/>
      <c r="J22" s="136"/>
      <c r="K22" s="136"/>
      <c r="L22" s="195"/>
      <c r="M22" s="115"/>
    </row>
    <row r="23" spans="1:13" outlineLevel="2">
      <c r="A23" s="363"/>
      <c r="B23" s="364"/>
      <c r="C23" s="151" t="str">
        <f t="shared" si="0"/>
        <v>Stockage en ISDND</v>
      </c>
      <c r="D23" s="115"/>
      <c r="E23" s="193" t="s">
        <v>790</v>
      </c>
      <c r="F23" s="135">
        <v>16.149999999999999</v>
      </c>
      <c r="G23" s="136"/>
      <c r="H23" s="136">
        <v>12</v>
      </c>
      <c r="I23" s="136"/>
      <c r="J23" s="136">
        <v>11</v>
      </c>
      <c r="K23" s="136"/>
      <c r="L23" s="195">
        <v>10</v>
      </c>
      <c r="M23" s="115"/>
    </row>
    <row r="24" spans="1:13" ht="15" outlineLevel="2" thickBot="1">
      <c r="A24" s="363"/>
      <c r="B24" s="364"/>
      <c r="C24" s="151" t="str">
        <f t="shared" si="0"/>
        <v>Valorisation matière</v>
      </c>
      <c r="D24" s="115"/>
      <c r="E24" s="193" t="s">
        <v>791</v>
      </c>
      <c r="F24" s="135">
        <v>34.630000000000003</v>
      </c>
      <c r="G24" s="136"/>
      <c r="H24" s="136">
        <v>40.5</v>
      </c>
      <c r="I24" s="136"/>
      <c r="J24" s="136">
        <v>41.25</v>
      </c>
      <c r="K24" s="136"/>
      <c r="L24" s="195">
        <v>42</v>
      </c>
      <c r="M24" s="115"/>
    </row>
    <row r="25" spans="1:13" ht="14.4" customHeight="1" outlineLevel="2">
      <c r="A25" s="363"/>
      <c r="B25" s="364"/>
      <c r="C25" s="151" t="str">
        <f t="shared" si="0"/>
        <v>ADEME via enquête ITOM, projections DGEC et CITEPA. Périmètre hexagone</v>
      </c>
      <c r="D25" s="115"/>
      <c r="E25" s="616" t="s">
        <v>972</v>
      </c>
      <c r="F25" s="616"/>
      <c r="G25" s="616"/>
      <c r="H25" s="616"/>
      <c r="I25" s="616"/>
      <c r="J25" s="616"/>
      <c r="K25" s="616"/>
      <c r="L25" s="616"/>
      <c r="M25" s="115"/>
    </row>
    <row r="26" spans="1:13" outlineLevel="1">
      <c r="A26" s="363"/>
      <c r="B26" s="364"/>
      <c r="C26" s="151" t="str">
        <f t="shared" si="0"/>
        <v/>
      </c>
      <c r="D26" s="115"/>
      <c r="E26" s="115"/>
      <c r="F26" s="115"/>
      <c r="G26" s="115"/>
      <c r="H26" s="115"/>
      <c r="I26" s="115"/>
      <c r="J26" s="115"/>
      <c r="K26" s="115"/>
      <c r="L26" s="115"/>
      <c r="M26" s="115"/>
    </row>
    <row r="27" spans="1:13" ht="15" outlineLevel="1" thickBot="1">
      <c r="A27" s="363"/>
      <c r="B27" s="364"/>
      <c r="C27" s="151" t="str">
        <f t="shared" si="0"/>
        <v>Evolution de la quantité des autres déchets (Mt)</v>
      </c>
      <c r="D27" s="115"/>
      <c r="E27" s="615" t="s">
        <v>792</v>
      </c>
      <c r="F27" s="615"/>
      <c r="G27" s="615"/>
      <c r="H27" s="615"/>
      <c r="I27" s="615"/>
      <c r="J27" s="615"/>
      <c r="K27" s="615"/>
      <c r="L27" s="615"/>
      <c r="M27" s="115"/>
    </row>
    <row r="28" spans="1:13" outlineLevel="2">
      <c r="A28" s="363"/>
      <c r="B28" s="364"/>
      <c r="C28" s="151" t="str">
        <f t="shared" si="0"/>
        <v>Mégatonne (Mt)</v>
      </c>
      <c r="D28" s="115"/>
      <c r="E28" s="200" t="s">
        <v>150</v>
      </c>
      <c r="F28" s="201" t="s">
        <v>677</v>
      </c>
      <c r="G28" s="201" t="s">
        <v>314</v>
      </c>
      <c r="H28" s="201" t="s">
        <v>125</v>
      </c>
      <c r="I28" s="201" t="s">
        <v>315</v>
      </c>
      <c r="J28" s="201" t="s">
        <v>316</v>
      </c>
      <c r="K28" s="201" t="s">
        <v>317</v>
      </c>
      <c r="L28" s="202" t="s">
        <v>133</v>
      </c>
      <c r="M28" s="115"/>
    </row>
    <row r="29" spans="1:13" outlineLevel="2">
      <c r="A29" s="363"/>
      <c r="B29" s="364"/>
      <c r="C29" s="151" t="str">
        <f t="shared" si="0"/>
        <v>Déchets industriels spéciaux incinérés</v>
      </c>
      <c r="D29" s="115"/>
      <c r="E29" s="280" t="s">
        <v>793</v>
      </c>
      <c r="F29" s="212">
        <v>1.62</v>
      </c>
      <c r="G29" s="213"/>
      <c r="H29" s="213">
        <v>1.72</v>
      </c>
      <c r="I29" s="213"/>
      <c r="J29" s="213">
        <v>1.84</v>
      </c>
      <c r="K29" s="213"/>
      <c r="L29" s="279">
        <v>1.99</v>
      </c>
      <c r="M29" s="115"/>
    </row>
    <row r="30" spans="1:13" outlineLevel="2">
      <c r="A30" s="363"/>
      <c r="B30" s="364"/>
      <c r="C30" s="151" t="str">
        <f t="shared" si="0"/>
        <v>Déchets hospitaliers incinérés</v>
      </c>
      <c r="D30" s="115"/>
      <c r="E30" s="193" t="s">
        <v>794</v>
      </c>
      <c r="F30" s="135">
        <v>20.03</v>
      </c>
      <c r="G30" s="136"/>
      <c r="H30" s="136">
        <v>20.64</v>
      </c>
      <c r="I30" s="136"/>
      <c r="J30" s="136">
        <v>21.1</v>
      </c>
      <c r="K30" s="136"/>
      <c r="L30" s="195">
        <v>21.34</v>
      </c>
      <c r="M30" s="115"/>
    </row>
    <row r="31" spans="1:13" outlineLevel="2">
      <c r="A31" s="363"/>
      <c r="B31" s="364"/>
      <c r="C31" s="151" t="str">
        <f t="shared" si="0"/>
        <v>Déchets verts brûlés par les ménages</v>
      </c>
      <c r="D31" s="115"/>
      <c r="E31" s="193" t="s">
        <v>795</v>
      </c>
      <c r="F31" s="135">
        <v>0.75</v>
      </c>
      <c r="G31" s="136"/>
      <c r="H31" s="136">
        <v>0.69</v>
      </c>
      <c r="I31" s="136"/>
      <c r="J31" s="136">
        <v>0.7</v>
      </c>
      <c r="K31" s="136"/>
      <c r="L31" s="195">
        <v>0.71</v>
      </c>
      <c r="M31" s="115"/>
    </row>
    <row r="32" spans="1:13" ht="15" outlineLevel="2" thickBot="1">
      <c r="A32" s="363"/>
      <c r="B32" s="364"/>
      <c r="C32" s="151" t="str">
        <f t="shared" si="0"/>
        <v>Incendies de véhicules</v>
      </c>
      <c r="D32" s="115"/>
      <c r="E32" s="193" t="s">
        <v>796</v>
      </c>
      <c r="F32" s="135">
        <v>9.93</v>
      </c>
      <c r="G32" s="136"/>
      <c r="H32" s="136">
        <v>9.26</v>
      </c>
      <c r="I32" s="136"/>
      <c r="J32" s="136">
        <v>9.26</v>
      </c>
      <c r="K32" s="136"/>
      <c r="L32" s="136">
        <v>9.26</v>
      </c>
      <c r="M32" s="115"/>
    </row>
    <row r="33" spans="1:13" ht="14.4" customHeight="1" outlineLevel="2">
      <c r="A33" s="363"/>
      <c r="B33" s="364"/>
      <c r="C33" s="151" t="str">
        <f t="shared" si="0"/>
        <v>ADEME via enquête ITOM, projections DGEC et CITEPA. Périmètre hexagone</v>
      </c>
      <c r="D33" s="115"/>
      <c r="E33" s="616" t="s">
        <v>972</v>
      </c>
      <c r="F33" s="616"/>
      <c r="G33" s="616"/>
      <c r="H33" s="616"/>
      <c r="I33" s="616"/>
      <c r="J33" s="616"/>
      <c r="K33" s="616"/>
      <c r="L33" s="616"/>
      <c r="M33" s="115"/>
    </row>
    <row r="34" spans="1:13" outlineLevel="1">
      <c r="A34" s="363"/>
      <c r="B34" s="364"/>
      <c r="C34" s="151"/>
      <c r="D34" s="115"/>
      <c r="E34" s="115"/>
      <c r="F34" s="115"/>
      <c r="G34" s="115"/>
      <c r="H34" s="115"/>
      <c r="I34" s="115"/>
      <c r="J34" s="115"/>
      <c r="K34" s="115"/>
      <c r="L34" s="115"/>
      <c r="M34" s="115"/>
    </row>
    <row r="35" spans="1:13" ht="28.8" thickBot="1">
      <c r="A35" s="363"/>
      <c r="B35" s="364"/>
      <c r="C35" s="151" t="str">
        <f t="shared" si="0"/>
        <v>Installations de stockage</v>
      </c>
      <c r="D35" s="369"/>
      <c r="E35" s="370"/>
      <c r="F35" s="617" t="s">
        <v>874</v>
      </c>
      <c r="G35" s="617"/>
      <c r="H35" s="617"/>
      <c r="I35" s="617"/>
      <c r="J35" s="617"/>
      <c r="K35" s="617"/>
      <c r="L35" s="617"/>
      <c r="M35" s="617"/>
    </row>
    <row r="36" spans="1:13" ht="13.2" customHeight="1" thickTop="1">
      <c r="A36" s="363"/>
      <c r="B36" s="365"/>
      <c r="C36" s="151" t="str">
        <f t="shared" si="0"/>
        <v/>
      </c>
      <c r="D36" s="287"/>
      <c r="E36" s="287"/>
      <c r="F36" s="287"/>
    </row>
    <row r="37" spans="1:13" ht="14.4" customHeight="1" outlineLevel="1">
      <c r="A37" s="363"/>
      <c r="B37" s="365"/>
      <c r="C37" s="151" t="str">
        <f t="shared" si="0"/>
        <v/>
      </c>
      <c r="D37" s="115"/>
      <c r="E37" s="115"/>
      <c r="F37" s="115"/>
      <c r="G37" s="115"/>
      <c r="H37" s="115"/>
      <c r="I37" s="115"/>
      <c r="J37" s="115"/>
      <c r="K37" s="115"/>
      <c r="L37" s="115"/>
      <c r="M37" s="115"/>
    </row>
    <row r="38" spans="1:13" ht="15" customHeight="1" outlineLevel="1">
      <c r="A38" s="363"/>
      <c r="B38" s="365"/>
      <c r="C38" s="151" t="str">
        <f t="shared" si="0"/>
        <v/>
      </c>
      <c r="D38" s="115"/>
      <c r="E38" s="115"/>
      <c r="F38" s="115"/>
      <c r="G38" s="115"/>
      <c r="H38" s="115"/>
      <c r="I38" s="115"/>
      <c r="J38" s="115"/>
      <c r="K38" s="115"/>
      <c r="L38" s="115"/>
      <c r="M38" s="115"/>
    </row>
    <row r="39" spans="1:13" ht="15" customHeight="1" outlineLevel="2" thickBot="1">
      <c r="A39" s="363"/>
      <c r="B39" s="365"/>
      <c r="C39" s="151" t="str">
        <f t="shared" si="0"/>
        <v>Captage et valorisation du biogaz issu des installations de stockage (%)</v>
      </c>
      <c r="D39" s="115"/>
      <c r="E39" s="615" t="s">
        <v>797</v>
      </c>
      <c r="F39" s="615"/>
      <c r="G39" s="615"/>
      <c r="H39" s="615"/>
      <c r="I39" s="615"/>
      <c r="J39" s="615"/>
      <c r="K39" s="615"/>
      <c r="L39" s="615"/>
      <c r="M39" s="115"/>
    </row>
    <row r="40" spans="1:13" ht="14.4" customHeight="1" outlineLevel="2">
      <c r="A40" s="363"/>
      <c r="B40" s="365"/>
      <c r="C40" s="151" t="str">
        <f t="shared" si="0"/>
        <v>(%)</v>
      </c>
      <c r="D40" s="115"/>
      <c r="E40" s="227" t="s">
        <v>798</v>
      </c>
      <c r="F40" s="228">
        <v>2020</v>
      </c>
      <c r="G40" s="228">
        <v>2025</v>
      </c>
      <c r="H40" s="228">
        <v>2030</v>
      </c>
      <c r="I40" s="228">
        <v>2035</v>
      </c>
      <c r="J40" s="228">
        <v>2040</v>
      </c>
      <c r="K40" s="228">
        <v>2045</v>
      </c>
      <c r="L40" s="229">
        <v>2050</v>
      </c>
      <c r="M40" s="115"/>
    </row>
    <row r="41" spans="1:13" ht="14.4" customHeight="1" outlineLevel="2">
      <c r="A41" s="363"/>
      <c r="B41" s="365"/>
      <c r="C41" s="151" t="str">
        <f t="shared" si="0"/>
        <v>Taux de captage</v>
      </c>
      <c r="D41" s="115"/>
      <c r="E41" s="179" t="s">
        <v>799</v>
      </c>
      <c r="F41" s="219">
        <v>0.5</v>
      </c>
      <c r="G41" s="345">
        <v>0.52</v>
      </c>
      <c r="H41" s="345">
        <v>0.56000000000000005</v>
      </c>
      <c r="I41" s="345"/>
      <c r="J41" s="345">
        <v>0.63</v>
      </c>
      <c r="K41" s="345"/>
      <c r="L41" s="346">
        <v>0.7</v>
      </c>
      <c r="M41" s="115"/>
    </row>
    <row r="42" spans="1:13" outlineLevel="2">
      <c r="A42" s="363"/>
      <c r="B42" s="365"/>
      <c r="C42" s="151" t="str">
        <f t="shared" si="0"/>
        <v>Valorisation du biogaz capté</v>
      </c>
      <c r="D42" s="115"/>
      <c r="E42" s="122" t="s">
        <v>800</v>
      </c>
      <c r="F42" s="298">
        <v>0.83</v>
      </c>
      <c r="G42" s="299">
        <v>0.84</v>
      </c>
      <c r="H42" s="299">
        <v>0.85</v>
      </c>
      <c r="I42" s="299"/>
      <c r="J42" s="299">
        <v>0.85</v>
      </c>
      <c r="K42" s="299"/>
      <c r="L42" s="347">
        <v>0.85</v>
      </c>
      <c r="M42" s="115"/>
    </row>
    <row r="43" spans="1:13" outlineLevel="2">
      <c r="A43" s="363"/>
      <c r="B43" s="365"/>
      <c r="C43" s="151" t="str">
        <f t="shared" si="0"/>
        <v xml:space="preserve">Haut fourneaux </v>
      </c>
      <c r="D43" s="115"/>
      <c r="E43" s="141" t="s">
        <v>152</v>
      </c>
      <c r="F43" s="135">
        <v>8.937676999999999</v>
      </c>
      <c r="G43" s="136">
        <v>9.699980479010172</v>
      </c>
      <c r="H43" s="136">
        <v>6.3077870255087731</v>
      </c>
      <c r="I43" s="136">
        <v>6.4055162782837556</v>
      </c>
      <c r="J43" s="136">
        <v>6.5012959639008585</v>
      </c>
      <c r="K43" s="136">
        <v>6.595080375608136</v>
      </c>
      <c r="L43" s="137">
        <v>6.6868238066536403</v>
      </c>
      <c r="M43" s="115"/>
    </row>
    <row r="44" spans="1:13" outlineLevel="2">
      <c r="A44" s="363"/>
      <c r="B44" s="365"/>
      <c r="C44" s="151" t="str">
        <f t="shared" si="0"/>
        <v>Procédé électrique</v>
      </c>
      <c r="D44" s="115"/>
      <c r="E44" s="141" t="s">
        <v>153</v>
      </c>
      <c r="F44" s="135">
        <v>4.604449164</v>
      </c>
      <c r="G44" s="136">
        <v>4.849990239505086</v>
      </c>
      <c r="H44" s="136">
        <v>5.444177316807016</v>
      </c>
      <c r="I44" s="136">
        <v>5.6433097669702512</v>
      </c>
      <c r="J44" s="136">
        <v>5.846951362400528</v>
      </c>
      <c r="K44" s="136">
        <v>6.0551478098497959</v>
      </c>
      <c r="L44" s="137">
        <v>6.2679448160700009</v>
      </c>
      <c r="M44" s="115"/>
    </row>
    <row r="45" spans="1:13" ht="15" outlineLevel="2" thickBot="1">
      <c r="A45" s="363"/>
      <c r="B45" s="365"/>
      <c r="C45" s="151" t="str">
        <f t="shared" si="0"/>
        <v>Réduction directe du fer (DRI)</v>
      </c>
      <c r="D45" s="115"/>
      <c r="E45" s="141" t="s">
        <v>154</v>
      </c>
      <c r="F45" s="135">
        <v>0</v>
      </c>
      <c r="G45" s="136">
        <v>0</v>
      </c>
      <c r="H45" s="136">
        <v>3</v>
      </c>
      <c r="I45" s="136">
        <v>3</v>
      </c>
      <c r="J45" s="136">
        <v>3</v>
      </c>
      <c r="K45" s="136">
        <v>3</v>
      </c>
      <c r="L45" s="137">
        <v>3</v>
      </c>
      <c r="M45" s="115"/>
    </row>
    <row r="46" spans="1:13" outlineLevel="1">
      <c r="A46" s="363"/>
      <c r="B46" s="365"/>
      <c r="C46" s="151" t="str">
        <f t="shared" si="0"/>
        <v>Inventaire CITEPA, projections DGEC et CITEPA. Périmètre hexagone</v>
      </c>
      <c r="D46" s="115"/>
      <c r="E46" s="616" t="s">
        <v>973</v>
      </c>
      <c r="F46" s="616"/>
      <c r="G46" s="616"/>
      <c r="H46" s="616"/>
      <c r="I46" s="616"/>
      <c r="J46" s="616"/>
      <c r="K46" s="616"/>
      <c r="L46" s="616"/>
      <c r="M46" s="115"/>
    </row>
    <row r="47" spans="1:13" outlineLevel="1">
      <c r="A47" s="363"/>
      <c r="B47" s="365"/>
      <c r="C47" s="151" t="str">
        <f t="shared" si="0"/>
        <v/>
      </c>
      <c r="D47" s="115"/>
      <c r="E47" s="115"/>
      <c r="F47" s="115"/>
      <c r="G47" s="115"/>
      <c r="H47" s="115"/>
      <c r="I47" s="115"/>
      <c r="J47" s="115"/>
      <c r="K47" s="115"/>
      <c r="L47" s="115"/>
      <c r="M47" s="115"/>
    </row>
    <row r="48" spans="1:13" ht="15" outlineLevel="1" thickBot="1">
      <c r="A48" s="363"/>
      <c r="B48" s="365"/>
      <c r="C48" s="151" t="str">
        <f t="shared" si="0"/>
        <v>Composition des déchets stockés (%)</v>
      </c>
      <c r="D48" s="115"/>
      <c r="E48" s="615" t="s">
        <v>861</v>
      </c>
      <c r="F48" s="615"/>
      <c r="G48" s="615"/>
      <c r="H48" s="615"/>
      <c r="I48" s="615"/>
      <c r="J48" s="615"/>
      <c r="K48" s="615"/>
      <c r="L48" s="615"/>
      <c r="M48" s="115"/>
    </row>
    <row r="49" spans="1:13" outlineLevel="2">
      <c r="A49" s="363"/>
      <c r="B49" s="365"/>
      <c r="C49" s="151" t="str">
        <f t="shared" si="0"/>
        <v>(%)</v>
      </c>
      <c r="D49" s="115"/>
      <c r="E49" s="227" t="s">
        <v>798</v>
      </c>
      <c r="F49" s="228">
        <v>2020</v>
      </c>
      <c r="G49" s="228">
        <v>2025</v>
      </c>
      <c r="H49" s="228">
        <v>2030</v>
      </c>
      <c r="I49" s="228">
        <v>2035</v>
      </c>
      <c r="J49" s="228">
        <v>2040</v>
      </c>
      <c r="K49" s="228">
        <v>2045</v>
      </c>
      <c r="L49" s="229">
        <v>2050</v>
      </c>
      <c r="M49" s="115"/>
    </row>
    <row r="50" spans="1:13" outlineLevel="2">
      <c r="A50" s="363"/>
      <c r="B50" s="365"/>
      <c r="C50" s="151" t="str">
        <f t="shared" si="0"/>
        <v>Déchets alimentaires</v>
      </c>
      <c r="D50" s="115"/>
      <c r="E50" s="179" t="s">
        <v>627</v>
      </c>
      <c r="F50" s="234">
        <v>0.17299999999999999</v>
      </c>
      <c r="G50" s="235"/>
      <c r="H50" s="235">
        <v>0.16400000000000001</v>
      </c>
      <c r="I50" s="235"/>
      <c r="J50" s="235"/>
      <c r="K50" s="235"/>
      <c r="L50" s="235">
        <v>0.16400000000000001</v>
      </c>
      <c r="M50" s="115"/>
    </row>
    <row r="51" spans="1:13" outlineLevel="2">
      <c r="A51" s="363"/>
      <c r="B51" s="365"/>
      <c r="C51" s="151" t="str">
        <f t="shared" si="0"/>
        <v>Déchets verts</v>
      </c>
      <c r="D51" s="115"/>
      <c r="E51" s="122" t="s">
        <v>801</v>
      </c>
      <c r="F51" s="301">
        <v>4.4999999999999998E-2</v>
      </c>
      <c r="G51" s="302"/>
      <c r="H51" s="302">
        <v>4.2999999999999997E-2</v>
      </c>
      <c r="I51" s="302"/>
      <c r="J51" s="302"/>
      <c r="K51" s="302"/>
      <c r="L51" s="302">
        <v>4.2999999999999997E-2</v>
      </c>
      <c r="M51" s="115"/>
    </row>
    <row r="52" spans="1:13" outlineLevel="2">
      <c r="A52" s="363"/>
      <c r="B52" s="365"/>
      <c r="C52" s="151" t="str">
        <f t="shared" si="0"/>
        <v>Papier / carton</v>
      </c>
      <c r="D52" s="115"/>
      <c r="E52" s="122" t="s">
        <v>802</v>
      </c>
      <c r="F52" s="301">
        <v>0.161</v>
      </c>
      <c r="G52" s="302"/>
      <c r="H52" s="302">
        <v>0.158</v>
      </c>
      <c r="I52" s="302"/>
      <c r="J52" s="302"/>
      <c r="K52" s="302"/>
      <c r="L52" s="302">
        <v>0.158</v>
      </c>
      <c r="M52" s="115"/>
    </row>
    <row r="53" spans="1:13" outlineLevel="2">
      <c r="A53" s="363"/>
      <c r="B53" s="365"/>
      <c r="C53" s="151" t="str">
        <f t="shared" si="0"/>
        <v>Bois</v>
      </c>
      <c r="D53" s="115"/>
      <c r="E53" s="122" t="s">
        <v>730</v>
      </c>
      <c r="F53" s="301">
        <v>5.2999999999999999E-2</v>
      </c>
      <c r="G53" s="302"/>
      <c r="H53" s="302">
        <v>5.0999999999999997E-2</v>
      </c>
      <c r="I53" s="302"/>
      <c r="J53" s="302"/>
      <c r="K53" s="302"/>
      <c r="L53" s="302">
        <v>5.0999999999999997E-2</v>
      </c>
      <c r="M53" s="115"/>
    </row>
    <row r="54" spans="1:13" outlineLevel="2">
      <c r="A54" s="363"/>
      <c r="B54" s="365"/>
      <c r="C54" s="151" t="str">
        <f t="shared" si="0"/>
        <v>Textile</v>
      </c>
      <c r="D54" s="115"/>
      <c r="E54" s="122" t="s">
        <v>803</v>
      </c>
      <c r="F54" s="301">
        <v>2.5999999999999999E-2</v>
      </c>
      <c r="G54" s="302"/>
      <c r="H54" s="302">
        <v>2.8000000000000001E-2</v>
      </c>
      <c r="I54" s="302"/>
      <c r="J54" s="302"/>
      <c r="K54" s="302"/>
      <c r="L54" s="302">
        <v>2.8000000000000001E-2</v>
      </c>
      <c r="M54" s="115"/>
    </row>
    <row r="55" spans="1:13" outlineLevel="2">
      <c r="A55" s="363"/>
      <c r="B55" s="365"/>
      <c r="C55" s="151" t="str">
        <f t="shared" si="0"/>
        <v>Couches</v>
      </c>
      <c r="D55" s="115"/>
      <c r="E55" s="122" t="s">
        <v>804</v>
      </c>
      <c r="F55" s="301">
        <v>8.5999999999999993E-2</v>
      </c>
      <c r="G55" s="302"/>
      <c r="H55" s="302">
        <v>6.5000000000000002E-2</v>
      </c>
      <c r="I55" s="302"/>
      <c r="J55" s="302"/>
      <c r="K55" s="302"/>
      <c r="L55" s="302">
        <v>6.5000000000000002E-2</v>
      </c>
      <c r="M55" s="115"/>
    </row>
    <row r="56" spans="1:13" ht="15" outlineLevel="2" thickBot="1">
      <c r="A56" s="363"/>
      <c r="B56" s="365"/>
      <c r="C56" s="151" t="str">
        <f t="shared" si="0"/>
        <v>Déchets inertes</v>
      </c>
      <c r="D56" s="115"/>
      <c r="E56" s="122" t="s">
        <v>805</v>
      </c>
      <c r="F56" s="301">
        <v>0.45700000000000002</v>
      </c>
      <c r="G56" s="302"/>
      <c r="H56" s="302">
        <v>0.49099999999999999</v>
      </c>
      <c r="I56" s="302"/>
      <c r="J56" s="302"/>
      <c r="K56" s="302"/>
      <c r="L56" s="302">
        <v>0.49099999999999999</v>
      </c>
      <c r="M56" s="115"/>
    </row>
    <row r="57" spans="1:13" outlineLevel="2">
      <c r="A57" s="363"/>
      <c r="B57" s="365"/>
      <c r="C57" s="151" t="str">
        <f t="shared" si="0"/>
        <v>Enquêtes ADEME, INSEE, feuille de route Fnade, projections DGEC et CITEPA</v>
      </c>
      <c r="D57" s="115"/>
      <c r="E57" s="616" t="s">
        <v>806</v>
      </c>
      <c r="F57" s="616"/>
      <c r="G57" s="616"/>
      <c r="H57" s="616"/>
      <c r="I57" s="616"/>
      <c r="J57" s="616"/>
      <c r="K57" s="616"/>
      <c r="L57" s="616"/>
      <c r="M57" s="115"/>
    </row>
    <row r="58" spans="1:13" outlineLevel="1">
      <c r="A58" s="363"/>
      <c r="B58" s="365"/>
      <c r="C58" s="151" t="str">
        <f t="shared" si="0"/>
        <v/>
      </c>
      <c r="D58" s="115"/>
      <c r="E58" s="288"/>
      <c r="F58" s="288"/>
      <c r="G58" s="288"/>
      <c r="H58" s="288"/>
      <c r="I58" s="288"/>
      <c r="J58" s="288"/>
      <c r="K58" s="288"/>
      <c r="L58" s="288"/>
      <c r="M58" s="115"/>
    </row>
    <row r="59" spans="1:13" ht="28.8" thickBot="1">
      <c r="A59" s="363"/>
      <c r="B59" s="365"/>
      <c r="C59" s="151" t="str">
        <f t="shared" si="0"/>
        <v>Eaux usées</v>
      </c>
      <c r="D59" s="369"/>
      <c r="E59" s="370"/>
      <c r="F59" s="617" t="s">
        <v>807</v>
      </c>
      <c r="G59" s="617"/>
      <c r="H59" s="617"/>
      <c r="I59" s="617"/>
      <c r="J59" s="617"/>
      <c r="K59" s="617"/>
      <c r="L59" s="617"/>
      <c r="M59" s="617"/>
    </row>
    <row r="60" spans="1:13" ht="15" thickTop="1">
      <c r="A60" s="363"/>
      <c r="B60" s="365"/>
      <c r="C60" s="151" t="str">
        <f t="shared" si="0"/>
        <v/>
      </c>
      <c r="D60" s="287"/>
      <c r="E60" s="287"/>
      <c r="F60" s="287"/>
    </row>
    <row r="61" spans="1:13" outlineLevel="1">
      <c r="A61" s="363"/>
      <c r="B61" s="365"/>
      <c r="C61" s="151" t="str">
        <f t="shared" si="0"/>
        <v/>
      </c>
      <c r="D61" s="115"/>
      <c r="E61" s="115"/>
      <c r="F61" s="115"/>
      <c r="G61" s="115"/>
      <c r="H61" s="115"/>
      <c r="I61" s="115"/>
      <c r="J61" s="115"/>
      <c r="K61" s="115"/>
      <c r="L61" s="115"/>
      <c r="M61" s="115"/>
    </row>
    <row r="62" spans="1:13" ht="19.2" outlineLevel="1">
      <c r="A62" s="363"/>
      <c r="B62" s="365"/>
      <c r="C62" s="151" t="str">
        <f t="shared" si="0"/>
        <v xml:space="preserve">Commentaire
IGCE = 
Diffus = </v>
      </c>
      <c r="D62" s="115"/>
      <c r="E62" s="611" t="s">
        <v>140</v>
      </c>
      <c r="F62" s="612"/>
      <c r="G62" s="612"/>
      <c r="H62" s="612"/>
      <c r="I62" s="612"/>
      <c r="J62" s="612"/>
      <c r="K62" s="612"/>
      <c r="L62" s="612"/>
      <c r="M62" s="115"/>
    </row>
    <row r="63" spans="1:13" ht="96.6" customHeight="1" outlineLevel="1">
      <c r="A63" s="363"/>
      <c r="B63" s="365"/>
      <c r="C63" s="151" t="str">
        <f t="shared" si="0"/>
        <v>Ce secteur concerne le traitement et le rejet des eaux domestiques et industrielles et le traitement des boues associées par méthanisation.
Les émissions du secteur dépendent des niveaux d’activités (Azote, DBO5/DCO) et du type de filière de traitement (en fonction des conditions d’anaérobie associées au système).
Le niveau d’activité lié au traitement des eaux domestiques est indexé sur la croissance de la population telle que prévue dans les hypothèses macro-économiques. Le niveau d’activité lié au traitement des eaux industrielles est considéré comme constant.</v>
      </c>
      <c r="D63" s="115"/>
      <c r="E63" s="613" t="s">
        <v>808</v>
      </c>
      <c r="F63" s="614"/>
      <c r="G63" s="614"/>
      <c r="H63" s="614"/>
      <c r="I63" s="614"/>
      <c r="J63" s="614"/>
      <c r="K63" s="614"/>
      <c r="L63" s="614"/>
      <c r="M63" s="115"/>
    </row>
    <row r="64" spans="1:13" outlineLevel="1">
      <c r="A64" s="363"/>
      <c r="B64" s="365"/>
      <c r="C64" s="151" t="str">
        <f t="shared" si="0"/>
        <v/>
      </c>
      <c r="D64" s="115"/>
      <c r="E64" s="288"/>
      <c r="F64" s="288"/>
      <c r="G64" s="288"/>
      <c r="H64" s="288"/>
      <c r="I64" s="288"/>
      <c r="J64" s="288"/>
      <c r="K64" s="288"/>
      <c r="L64" s="288"/>
      <c r="M64" s="115"/>
    </row>
    <row r="65" spans="1:13" ht="15" outlineLevel="1" thickBot="1">
      <c r="A65" s="363"/>
      <c r="B65" s="365"/>
      <c r="C65" s="151" t="str">
        <f t="shared" ref="A65:C97" si="1">IF(ISBLANK(E65),IF(ISBLANK(F65),"",F65),E65)</f>
        <v>Consommation de protéine en quantité (g/personne/jour)</v>
      </c>
      <c r="D65" s="115"/>
      <c r="E65" s="615" t="s">
        <v>809</v>
      </c>
      <c r="F65" s="615"/>
      <c r="G65" s="615"/>
      <c r="H65" s="615"/>
      <c r="I65" s="615"/>
      <c r="J65" s="615"/>
      <c r="K65" s="615"/>
      <c r="L65" s="615"/>
      <c r="M65" s="115"/>
    </row>
    <row r="66" spans="1:13" outlineLevel="2">
      <c r="A66" s="363"/>
      <c r="B66" s="365"/>
      <c r="C66" s="151" t="str">
        <f t="shared" si="1"/>
        <v>(g/personne/jour)</v>
      </c>
      <c r="D66" s="115"/>
      <c r="E66" s="227" t="s">
        <v>810</v>
      </c>
      <c r="F66" s="228">
        <v>2020</v>
      </c>
      <c r="G66" s="228">
        <v>2025</v>
      </c>
      <c r="H66" s="228">
        <v>2030</v>
      </c>
      <c r="I66" s="228">
        <v>2035</v>
      </c>
      <c r="J66" s="228">
        <v>2040</v>
      </c>
      <c r="K66" s="228">
        <v>2045</v>
      </c>
      <c r="L66" s="229">
        <v>2050</v>
      </c>
      <c r="M66" s="115"/>
    </row>
    <row r="67" spans="1:13" ht="15" outlineLevel="2" thickBot="1">
      <c r="A67" s="363"/>
      <c r="B67" s="365"/>
      <c r="C67" s="151" t="str">
        <f t="shared" si="1"/>
        <v>Consommation de protéine en quantité aux horizons 2030 et 2050</v>
      </c>
      <c r="D67" s="115"/>
      <c r="E67" s="179" t="s">
        <v>811</v>
      </c>
      <c r="F67" s="550">
        <v>86</v>
      </c>
      <c r="G67" s="551">
        <v>84</v>
      </c>
      <c r="H67" s="551">
        <v>81</v>
      </c>
      <c r="I67" s="551"/>
      <c r="J67" s="551">
        <v>76</v>
      </c>
      <c r="K67" s="551"/>
      <c r="L67" s="551">
        <v>69</v>
      </c>
      <c r="M67" s="115"/>
    </row>
    <row r="68" spans="1:13" outlineLevel="2">
      <c r="A68" s="363"/>
      <c r="B68" s="365"/>
      <c r="C68" s="151" t="str">
        <f t="shared" si="1"/>
        <v>Rapport de l’ADEME « Contribution de l’ADEME à l’élaboration de visions énergétiques 2030 - 2050 »</v>
      </c>
      <c r="D68" s="115"/>
      <c r="E68" s="616" t="s">
        <v>812</v>
      </c>
      <c r="F68" s="616"/>
      <c r="G68" s="616"/>
      <c r="H68" s="616"/>
      <c r="I68" s="616"/>
      <c r="J68" s="616"/>
      <c r="K68" s="616"/>
      <c r="L68" s="616"/>
      <c r="M68" s="115"/>
    </row>
    <row r="69" spans="1:13" outlineLevel="1">
      <c r="A69" s="363"/>
      <c r="B69" s="365"/>
      <c r="C69" s="151" t="str">
        <f t="shared" si="1"/>
        <v/>
      </c>
      <c r="D69" s="115"/>
      <c r="E69" s="288"/>
      <c r="F69" s="288"/>
      <c r="G69" s="288"/>
      <c r="H69" s="288"/>
      <c r="I69" s="288"/>
      <c r="J69" s="288"/>
      <c r="K69" s="288"/>
      <c r="L69" s="288"/>
      <c r="M69" s="115"/>
    </row>
    <row r="70" spans="1:13" ht="15" outlineLevel="1" thickBot="1">
      <c r="A70" s="363"/>
      <c r="B70" s="365"/>
      <c r="C70" s="151" t="str">
        <f t="shared" si="1"/>
        <v>Traitement des eaux usées</v>
      </c>
      <c r="D70" s="115"/>
      <c r="E70" s="615" t="s">
        <v>12</v>
      </c>
      <c r="F70" s="615"/>
      <c r="G70" s="615"/>
      <c r="H70" s="615"/>
      <c r="I70" s="615"/>
      <c r="J70" s="615"/>
      <c r="K70" s="615"/>
      <c r="L70" s="615"/>
      <c r="M70" s="115"/>
    </row>
    <row r="71" spans="1:13" outlineLevel="2">
      <c r="A71" s="363"/>
      <c r="B71" s="365"/>
      <c r="C71" s="151" t="str">
        <f t="shared" si="1"/>
        <v>%</v>
      </c>
      <c r="D71" s="115"/>
      <c r="E71" s="119" t="s">
        <v>121</v>
      </c>
      <c r="F71" s="130">
        <v>2020</v>
      </c>
      <c r="G71" s="130">
        <v>2025</v>
      </c>
      <c r="H71" s="130">
        <v>2030</v>
      </c>
      <c r="I71" s="130">
        <v>2035</v>
      </c>
      <c r="J71" s="130">
        <v>2040</v>
      </c>
      <c r="K71" s="130">
        <v>2045</v>
      </c>
      <c r="L71" s="131">
        <v>2050</v>
      </c>
      <c r="M71" s="115"/>
    </row>
    <row r="72" spans="1:13" outlineLevel="2">
      <c r="A72" s="363"/>
      <c r="B72" s="365"/>
      <c r="C72" s="151" t="str">
        <f t="shared" si="1"/>
        <v>Part de la population raccordée à une STEP</v>
      </c>
      <c r="D72" s="115"/>
      <c r="E72" s="179" t="s">
        <v>871</v>
      </c>
      <c r="F72" s="180">
        <v>0.81400000000000006</v>
      </c>
      <c r="G72" s="249"/>
      <c r="H72" s="181">
        <v>0.82399999999999995</v>
      </c>
      <c r="I72" s="249"/>
      <c r="J72" s="181">
        <v>0.82399999999999995</v>
      </c>
      <c r="K72" s="249"/>
      <c r="L72" s="181">
        <v>0.82399999999999995</v>
      </c>
      <c r="M72" s="115"/>
    </row>
    <row r="73" spans="1:13" outlineLevel="2">
      <c r="A73" s="363"/>
      <c r="B73" s="365"/>
      <c r="C73" s="151" t="str">
        <f t="shared" si="1"/>
        <v>Part de la population raccordée un traitement autonome</v>
      </c>
      <c r="D73" s="115"/>
      <c r="E73" s="179" t="s">
        <v>872</v>
      </c>
      <c r="F73" s="177">
        <v>0.17599999999999999</v>
      </c>
      <c r="G73" s="246"/>
      <c r="H73" s="174">
        <v>0.17599999999999999</v>
      </c>
      <c r="I73" s="246"/>
      <c r="J73" s="174">
        <v>0.17599999999999999</v>
      </c>
      <c r="K73" s="246"/>
      <c r="L73" s="174">
        <v>0.17599999999999999</v>
      </c>
      <c r="M73" s="115"/>
    </row>
    <row r="74" spans="1:13" ht="15" outlineLevel="2" thickBot="1">
      <c r="A74" s="363"/>
      <c r="B74" s="365"/>
      <c r="C74" s="151" t="str">
        <f t="shared" si="1"/>
        <v>Part de la population sans traitement</v>
      </c>
      <c r="D74" s="115"/>
      <c r="E74" s="179" t="s">
        <v>873</v>
      </c>
      <c r="F74" s="177">
        <v>0.01</v>
      </c>
      <c r="G74" s="246"/>
      <c r="H74" s="174">
        <v>0</v>
      </c>
      <c r="I74" s="246"/>
      <c r="J74" s="174">
        <v>0</v>
      </c>
      <c r="K74" s="246"/>
      <c r="L74" s="174">
        <v>0</v>
      </c>
      <c r="M74" s="115"/>
    </row>
    <row r="75" spans="1:13" outlineLevel="2">
      <c r="A75" s="363"/>
      <c r="B75" s="365"/>
      <c r="C75" s="151" t="str">
        <f t="shared" si="1"/>
        <v/>
      </c>
      <c r="D75" s="115"/>
      <c r="E75" s="616"/>
      <c r="F75" s="616"/>
      <c r="G75" s="616"/>
      <c r="H75" s="616"/>
      <c r="I75" s="616"/>
      <c r="J75" s="616"/>
      <c r="K75" s="616"/>
      <c r="L75" s="616"/>
      <c r="M75" s="115"/>
    </row>
    <row r="76" spans="1:13" s="399" customFormat="1" outlineLevel="2">
      <c r="A76" s="363"/>
      <c r="B76" s="365"/>
      <c r="C76" s="151"/>
      <c r="D76" s="115"/>
      <c r="E76" s="402"/>
      <c r="F76" s="402"/>
      <c r="G76" s="402"/>
      <c r="H76" s="402"/>
      <c r="I76" s="402"/>
      <c r="J76" s="402"/>
      <c r="K76" s="402"/>
      <c r="L76" s="402"/>
      <c r="M76" s="115"/>
    </row>
    <row r="77" spans="1:13" outlineLevel="1">
      <c r="A77" s="363"/>
      <c r="B77" s="365"/>
      <c r="C77" s="151" t="str">
        <f t="shared" si="1"/>
        <v/>
      </c>
      <c r="D77" s="115"/>
      <c r="E77" s="288"/>
      <c r="F77" s="288"/>
      <c r="G77" s="288"/>
      <c r="H77" s="288"/>
      <c r="I77" s="288"/>
      <c r="J77" s="288"/>
      <c r="K77" s="288"/>
      <c r="L77" s="288"/>
      <c r="M77" s="115"/>
    </row>
    <row r="78" spans="1:13">
      <c r="A78" s="363"/>
      <c r="B78" s="365"/>
      <c r="C78" s="151" t="str">
        <f t="shared" si="1"/>
        <v/>
      </c>
      <c r="D78" s="287"/>
      <c r="E78" s="287"/>
      <c r="F78" s="287"/>
    </row>
    <row r="79" spans="1:13">
      <c r="A79" s="114"/>
      <c r="C79" s="151" t="str">
        <f t="shared" si="1"/>
        <v/>
      </c>
      <c r="D79" s="629"/>
      <c r="E79" s="629"/>
      <c r="F79" s="629"/>
      <c r="G79" s="629"/>
      <c r="H79" s="287"/>
      <c r="I79" s="287"/>
      <c r="J79" s="287"/>
    </row>
    <row r="80" spans="1:13" ht="28.8" thickBot="1">
      <c r="A80" s="366"/>
      <c r="C80" s="151" t="str">
        <f t="shared" si="1"/>
        <v>Résultats</v>
      </c>
      <c r="D80" s="371"/>
      <c r="E80" s="635" t="s">
        <v>137</v>
      </c>
      <c r="F80" s="635"/>
      <c r="G80" s="635"/>
      <c r="H80" s="635"/>
      <c r="I80" s="635"/>
      <c r="J80" s="635"/>
      <c r="K80" s="635"/>
      <c r="L80" s="635"/>
      <c r="M80" s="371"/>
    </row>
    <row r="81" spans="1:13" ht="15" thickTop="1">
      <c r="A81" s="366"/>
      <c r="C81" s="151" t="str">
        <f t="shared" si="1"/>
        <v/>
      </c>
      <c r="D81" s="3"/>
      <c r="E81" s="3"/>
      <c r="F81" s="3"/>
      <c r="G81" s="3"/>
      <c r="H81" s="3"/>
      <c r="I81" s="3"/>
      <c r="J81" s="3"/>
      <c r="K81" s="3"/>
      <c r="L81" s="3"/>
      <c r="M81" s="3"/>
    </row>
    <row r="82" spans="1:13" ht="15.6">
      <c r="A82" s="366"/>
      <c r="C82" s="151" t="str">
        <f t="shared" si="1"/>
        <v/>
      </c>
      <c r="D82" s="112"/>
      <c r="E82" s="113"/>
      <c r="F82" s="113"/>
      <c r="G82" s="113"/>
      <c r="H82" s="113"/>
      <c r="I82" s="113"/>
      <c r="J82" s="113"/>
      <c r="K82" s="113"/>
      <c r="L82" s="113"/>
      <c r="M82" s="3"/>
    </row>
    <row r="83" spans="1:13" ht="28.8" thickBot="1">
      <c r="A83" s="366"/>
      <c r="B83" s="367"/>
      <c r="C83" s="151" t="str">
        <f t="shared" si="1"/>
        <v>Emissions de gaz à effet de serre</v>
      </c>
      <c r="D83" s="371"/>
      <c r="E83" s="372"/>
      <c r="F83" s="635" t="s">
        <v>142</v>
      </c>
      <c r="G83" s="635"/>
      <c r="H83" s="635"/>
      <c r="I83" s="635"/>
      <c r="J83" s="635"/>
      <c r="K83" s="635"/>
      <c r="L83" s="635"/>
      <c r="M83" s="635"/>
    </row>
    <row r="84" spans="1:13" ht="15" thickTop="1">
      <c r="A84" s="366"/>
      <c r="B84" s="367"/>
      <c r="C84" s="151" t="str">
        <f t="shared" si="1"/>
        <v/>
      </c>
    </row>
    <row r="85" spans="1:13" outlineLevel="1">
      <c r="A85" s="127"/>
      <c r="C85" s="151" t="str">
        <f t="shared" si="1"/>
        <v/>
      </c>
      <c r="D85" s="115"/>
      <c r="E85" s="115"/>
      <c r="F85" s="115"/>
      <c r="G85" s="115"/>
      <c r="H85" s="115"/>
      <c r="I85" s="115"/>
      <c r="J85" s="115"/>
      <c r="K85" s="115"/>
      <c r="L85" s="115"/>
      <c r="M85" s="115"/>
    </row>
    <row r="86" spans="1:13" outlineLevel="1">
      <c r="A86" s="127"/>
      <c r="C86" s="151" t="str">
        <f t="shared" si="1"/>
        <v/>
      </c>
      <c r="D86" s="115"/>
      <c r="E86" s="115"/>
      <c r="F86" s="115"/>
      <c r="G86" s="115"/>
      <c r="H86" s="115"/>
      <c r="I86" s="115"/>
      <c r="J86" s="115"/>
      <c r="K86" s="115"/>
      <c r="L86" s="115"/>
      <c r="M86" s="115"/>
    </row>
    <row r="87" spans="1:13" ht="15" outlineLevel="1" thickBot="1">
      <c r="A87" s="127"/>
      <c r="C87" s="151" t="str">
        <f t="shared" si="1"/>
        <v>Emissions du secteur des déchets (MtCO2e)</v>
      </c>
      <c r="D87" s="115"/>
      <c r="E87" s="627" t="s">
        <v>813</v>
      </c>
      <c r="F87" s="627"/>
      <c r="G87" s="627"/>
      <c r="H87" s="627"/>
      <c r="I87" s="627"/>
      <c r="J87" s="627"/>
      <c r="K87" s="627"/>
      <c r="L87" s="627"/>
      <c r="M87" s="115"/>
    </row>
    <row r="88" spans="1:13" outlineLevel="1">
      <c r="A88" s="127"/>
      <c r="C88" s="151"/>
      <c r="D88" s="115"/>
      <c r="E88" s="348" t="s">
        <v>302</v>
      </c>
      <c r="F88" s="349">
        <v>2020</v>
      </c>
      <c r="G88" s="349">
        <v>2025</v>
      </c>
      <c r="H88" s="349">
        <v>2030</v>
      </c>
      <c r="I88" s="349">
        <v>2035</v>
      </c>
      <c r="J88" s="349">
        <v>2040</v>
      </c>
      <c r="K88" s="349">
        <v>2045</v>
      </c>
      <c r="L88" s="350">
        <v>2050</v>
      </c>
      <c r="M88" s="115"/>
    </row>
    <row r="89" spans="1:13" outlineLevel="1">
      <c r="A89" s="127"/>
      <c r="C89" s="151"/>
      <c r="D89" s="115"/>
      <c r="E89" s="351" t="s">
        <v>144</v>
      </c>
      <c r="F89" s="352">
        <f>SUM(F90:F93)</f>
        <v>14.795939975918943</v>
      </c>
      <c r="G89" s="352">
        <f>SUM(G90:G93)</f>
        <v>13.881395031446843</v>
      </c>
      <c r="H89" s="352">
        <f t="shared" ref="H89:L89" si="2">SUM(H90:H93)</f>
        <v>12.396652394298222</v>
      </c>
      <c r="I89" s="352">
        <f t="shared" si="2"/>
        <v>11.019088320097502</v>
      </c>
      <c r="J89" s="352">
        <f t="shared" si="2"/>
        <v>9.9572040976027658</v>
      </c>
      <c r="K89" s="352">
        <f t="shared" si="2"/>
        <v>9.1043181298679468</v>
      </c>
      <c r="L89" s="482">
        <f t="shared" si="2"/>
        <v>8.3603888755995985</v>
      </c>
      <c r="M89" s="115"/>
    </row>
    <row r="90" spans="1:13" outlineLevel="1">
      <c r="A90" s="127"/>
      <c r="C90" s="151"/>
      <c r="D90" s="115"/>
      <c r="E90" s="353" t="s">
        <v>20</v>
      </c>
      <c r="F90" s="354">
        <f>GES!AF70</f>
        <v>11.732094848760404</v>
      </c>
      <c r="G90" s="354">
        <f>GES!AJ70</f>
        <v>10.831889450101503</v>
      </c>
      <c r="H90" s="354">
        <f>GES!AL70</f>
        <v>9.1840738242297046</v>
      </c>
      <c r="I90" s="354">
        <f>GES!AN70</f>
        <v>7.762954007189431</v>
      </c>
      <c r="J90" s="354">
        <f>GES!AP70</f>
        <v>6.6595894883758273</v>
      </c>
      <c r="K90" s="354">
        <f>GES!AQ70</f>
        <v>5.7454553858429538</v>
      </c>
      <c r="L90" s="455">
        <f>GES!AR70</f>
        <v>4.9590318866156045</v>
      </c>
      <c r="M90" s="115"/>
    </row>
    <row r="91" spans="1:13" outlineLevel="1">
      <c r="A91" s="127"/>
      <c r="C91" s="151"/>
      <c r="D91" s="115"/>
      <c r="E91" s="353" t="s">
        <v>10</v>
      </c>
      <c r="F91" s="354">
        <f>GES!AF71</f>
        <v>1.5617528085935699</v>
      </c>
      <c r="G91" s="354">
        <f>GES!AJ71</f>
        <v>1.4713884992101489</v>
      </c>
      <c r="H91" s="354">
        <f>GES!AL71</f>
        <v>1.5261651261516327</v>
      </c>
      <c r="I91" s="354">
        <f>GES!AN71</f>
        <v>1.5738767540983662</v>
      </c>
      <c r="J91" s="354">
        <f>GES!AP71</f>
        <v>1.6212441382984326</v>
      </c>
      <c r="K91" s="354">
        <f>GES!AQ71</f>
        <v>1.6902596205610909</v>
      </c>
      <c r="L91" s="455">
        <f>GES!AR71</f>
        <v>1.7477514411674686</v>
      </c>
      <c r="M91" s="115"/>
    </row>
    <row r="92" spans="1:13" outlineLevel="1">
      <c r="A92" s="127"/>
      <c r="C92" s="151"/>
      <c r="D92" s="115"/>
      <c r="E92" s="355" t="s">
        <v>11</v>
      </c>
      <c r="F92" s="354">
        <f>GES!AF72</f>
        <v>0.92197895768681115</v>
      </c>
      <c r="G92" s="354">
        <f>GES!AJ72</f>
        <v>0.99049493202505223</v>
      </c>
      <c r="H92" s="354">
        <f>GES!AL72</f>
        <v>1.1043542490499219</v>
      </c>
      <c r="I92" s="354">
        <f>GES!AN72</f>
        <v>1.1069163454012714</v>
      </c>
      <c r="J92" s="354">
        <f>GES!AP72</f>
        <v>1.1094814764384371</v>
      </c>
      <c r="K92" s="354">
        <f>GES!AQ72</f>
        <v>1.1120225486866597</v>
      </c>
      <c r="L92" s="455">
        <f>GES!AR72</f>
        <v>1.1145390473153105</v>
      </c>
      <c r="M92" s="115"/>
    </row>
    <row r="93" spans="1:13" ht="15" outlineLevel="1" thickBot="1">
      <c r="A93" s="127"/>
      <c r="C93" s="151" t="str">
        <f t="shared" si="1"/>
        <v>Traitement des eaux usées</v>
      </c>
      <c r="D93" s="115"/>
      <c r="E93" s="356" t="s">
        <v>12</v>
      </c>
      <c r="F93" s="457">
        <f>GES!AF73</f>
        <v>0.58011336087815768</v>
      </c>
      <c r="G93" s="457">
        <f>GES!AJ73</f>
        <v>0.58762215011013641</v>
      </c>
      <c r="H93" s="457">
        <f>GES!AL73</f>
        <v>0.58205919486696422</v>
      </c>
      <c r="I93" s="457">
        <f>GES!AN73</f>
        <v>0.57534121340843325</v>
      </c>
      <c r="J93" s="457">
        <f>GES!AP73</f>
        <v>0.56688899449006769</v>
      </c>
      <c r="K93" s="457">
        <f>GES!AQ73</f>
        <v>0.55658057477724265</v>
      </c>
      <c r="L93" s="458">
        <f>GES!AR73</f>
        <v>0.53906650050121419</v>
      </c>
      <c r="M93" s="115"/>
    </row>
    <row r="94" spans="1:13" outlineLevel="1">
      <c r="A94" s="127"/>
      <c r="C94" s="151"/>
      <c r="D94" s="115"/>
      <c r="E94" s="610" t="s">
        <v>965</v>
      </c>
      <c r="F94" s="610"/>
      <c r="G94" s="610"/>
      <c r="H94" s="610"/>
      <c r="I94" s="610"/>
      <c r="J94" s="610"/>
      <c r="K94" s="610"/>
      <c r="L94" s="610"/>
      <c r="M94" s="115"/>
    </row>
    <row r="95" spans="1:13" outlineLevel="4">
      <c r="A95" s="127"/>
      <c r="C95" s="151"/>
      <c r="D95" s="115"/>
      <c r="E95" s="288"/>
      <c r="F95" s="288"/>
      <c r="G95" s="288"/>
      <c r="H95" s="288"/>
      <c r="I95" s="288"/>
      <c r="J95" s="288"/>
      <c r="K95" s="288"/>
      <c r="L95" s="288"/>
      <c r="M95" s="115"/>
    </row>
    <row r="96" spans="1:13" outlineLevel="4">
      <c r="A96" s="127"/>
      <c r="C96" s="151" t="str">
        <f>IF(ISBLANK(E96),IF(ISBLANK(F96),"",F96),E96)</f>
        <v/>
      </c>
      <c r="D96" s="115"/>
      <c r="E96" s="610"/>
      <c r="F96" s="610"/>
      <c r="G96" s="610"/>
      <c r="H96" s="610"/>
      <c r="I96" s="610"/>
      <c r="J96" s="610"/>
      <c r="K96" s="610"/>
      <c r="L96" s="610"/>
      <c r="M96" s="115"/>
    </row>
    <row r="97" spans="1:6">
      <c r="A97" s="151" t="str">
        <f t="shared" si="1"/>
        <v/>
      </c>
      <c r="C97" s="151" t="str">
        <f t="shared" si="1"/>
        <v/>
      </c>
      <c r="D97" s="649"/>
      <c r="E97" s="649"/>
      <c r="F97" s="649"/>
    </row>
    <row r="98" spans="1:6">
      <c r="C98" s="151" t="str">
        <f t="shared" ref="C98" si="3">IF(ISBLANK(E98),IF(ISBLANK(F98),"",F98),E98)</f>
        <v/>
      </c>
    </row>
  </sheetData>
  <mergeCells count="38">
    <mergeCell ref="E87:L87"/>
    <mergeCell ref="E94:L94"/>
    <mergeCell ref="E96:L96"/>
    <mergeCell ref="D97:F97"/>
    <mergeCell ref="F83:M83"/>
    <mergeCell ref="E57:L57"/>
    <mergeCell ref="F59:M59"/>
    <mergeCell ref="E62:L62"/>
    <mergeCell ref="E63:L63"/>
    <mergeCell ref="E65:L65"/>
    <mergeCell ref="E68:L68"/>
    <mergeCell ref="E70:L70"/>
    <mergeCell ref="E75:L75"/>
    <mergeCell ref="D79:G79"/>
    <mergeCell ref="E80:L80"/>
    <mergeCell ref="E8:L8"/>
    <mergeCell ref="E48:L48"/>
    <mergeCell ref="F11:M11"/>
    <mergeCell ref="E15:L15"/>
    <mergeCell ref="E25:L25"/>
    <mergeCell ref="E27:L27"/>
    <mergeCell ref="E33:L33"/>
    <mergeCell ref="F35:M35"/>
    <mergeCell ref="E39:L39"/>
    <mergeCell ref="E46:L46"/>
    <mergeCell ref="E1:M1"/>
    <mergeCell ref="E3:I3"/>
    <mergeCell ref="J3:M3"/>
    <mergeCell ref="O3:Q3"/>
    <mergeCell ref="F5:G5"/>
    <mergeCell ref="H5:I5"/>
    <mergeCell ref="J5:K5"/>
    <mergeCell ref="L5:M5"/>
    <mergeCell ref="R3:T3"/>
    <mergeCell ref="F4:G4"/>
    <mergeCell ref="H4:I4"/>
    <mergeCell ref="J4:K4"/>
    <mergeCell ref="L4:M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Spinner 1">
              <controlPr defaultSize="0" autoPict="0">
                <anchor moveWithCells="1" sizeWithCells="1">
                  <from>
                    <xdr:col>13</xdr:col>
                    <xdr:colOff>617220</xdr:colOff>
                    <xdr:row>3</xdr:row>
                    <xdr:rowOff>0</xdr:rowOff>
                  </from>
                  <to>
                    <xdr:col>13</xdr:col>
                    <xdr:colOff>861060</xdr:colOff>
                    <xdr:row>5</xdr:row>
                    <xdr:rowOff>0</xdr:rowOff>
                  </to>
                </anchor>
              </controlPr>
            </control>
          </mc:Choice>
        </mc:AlternateContent>
        <mc:AlternateContent xmlns:mc="http://schemas.openxmlformats.org/markup-compatibility/2006">
          <mc:Choice Requires="x14">
            <control shapeId="74754" r:id="rId5" name="Spinner 2">
              <controlPr defaultSize="0" autoPict="0">
                <anchor moveWithCells="1" sizeWithCells="1">
                  <from>
                    <xdr:col>3</xdr:col>
                    <xdr:colOff>236220</xdr:colOff>
                    <xdr:row>3</xdr:row>
                    <xdr:rowOff>0</xdr:rowOff>
                  </from>
                  <to>
                    <xdr:col>3</xdr:col>
                    <xdr:colOff>480060</xdr:colOff>
                    <xdr:row>4</xdr:row>
                    <xdr:rowOff>327660</xdr:rowOff>
                  </to>
                </anchor>
              </controlPr>
            </control>
          </mc:Choice>
        </mc:AlternateContent>
      </controls>
    </mc:Choice>
  </mc:AlternateContent>
  <tableParts count="2">
    <tablePart r:id="rId6"/>
    <tablePart r:id="rId7"/>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73277"/>
  </sheetPr>
  <dimension ref="A1:T133"/>
  <sheetViews>
    <sheetView showGridLines="0" zoomScale="85" zoomScaleNormal="85" workbookViewId="0">
      <pane ySplit="6" topLeftCell="A7" activePane="bottomLeft" state="frozen"/>
      <selection pane="bottomLeft" activeCell="E11" sqref="E11"/>
    </sheetView>
  </sheetViews>
  <sheetFormatPr baseColWidth="10" defaultColWidth="11.5546875" defaultRowHeight="14.4" outlineLevelRow="5"/>
  <cols>
    <col min="1" max="1" width="3.109375" style="399" customWidth="1"/>
    <col min="2" max="2" width="3.109375" style="400" customWidth="1"/>
    <col min="3" max="3" width="3.109375" style="399" customWidth="1"/>
    <col min="4" max="4" width="7.33203125" style="399" customWidth="1"/>
    <col min="5" max="5" width="32.6640625" style="399" customWidth="1"/>
    <col min="6" max="7" width="11.5546875" style="399"/>
    <col min="8" max="8" width="11.5546875" style="399" customWidth="1"/>
    <col min="9" max="9" width="11.5546875" style="399"/>
    <col min="10" max="10" width="11.5546875" style="399" customWidth="1"/>
    <col min="11" max="12" width="11.5546875" style="399"/>
    <col min="13" max="13" width="10.88671875" style="399" customWidth="1"/>
    <col min="14" max="14" width="12.5546875" style="399" customWidth="1"/>
    <col min="15" max="15" width="13.5546875" style="399" customWidth="1"/>
    <col min="16" max="16" width="13" style="399" customWidth="1"/>
    <col min="17" max="16384" width="11.5546875" style="399"/>
  </cols>
  <sheetData>
    <row r="1" spans="1:20" ht="25.95" customHeight="1" thickBot="1">
      <c r="D1" s="368"/>
      <c r="E1" s="619" t="s">
        <v>43</v>
      </c>
      <c r="F1" s="619"/>
      <c r="G1" s="619"/>
      <c r="H1" s="619"/>
      <c r="I1" s="619"/>
      <c r="J1" s="619"/>
      <c r="K1" s="619"/>
      <c r="L1" s="619"/>
      <c r="M1" s="619"/>
    </row>
    <row r="2" spans="1:20" ht="10.95" customHeight="1" thickTop="1">
      <c r="D2" s="2"/>
      <c r="E2" s="150"/>
      <c r="F2" s="150"/>
      <c r="G2" s="150"/>
      <c r="H2" s="150"/>
      <c r="I2" s="150"/>
      <c r="J2" s="150"/>
      <c r="K2" s="150"/>
      <c r="L2" s="150"/>
      <c r="M2" s="150"/>
    </row>
    <row r="3" spans="1:20" ht="28.95" customHeight="1">
      <c r="D3" s="2"/>
      <c r="E3" s="620" t="str">
        <f>HYPERLINK("#UTCATF!E"&amp;TEXT(MATCH(E8,C1:C947,0),"#"),E8)</f>
        <v>Hypothèses</v>
      </c>
      <c r="F3" s="621"/>
      <c r="G3" s="621"/>
      <c r="H3" s="621"/>
      <c r="I3" s="621"/>
      <c r="J3" s="631" t="str">
        <f>HYPERLINK("#UTCATF!E"&amp;TEXT(MATCH(E111,C1:C947,0),"#"),E111)</f>
        <v>Résultats</v>
      </c>
      <c r="K3" s="631"/>
      <c r="L3" s="631"/>
      <c r="M3" s="631"/>
      <c r="O3" s="623" t="s">
        <v>181</v>
      </c>
      <c r="P3" s="623"/>
      <c r="Q3" s="623"/>
      <c r="R3" s="628" t="s">
        <v>137</v>
      </c>
      <c r="S3" s="628"/>
      <c r="T3" s="628"/>
    </row>
    <row r="4" spans="1:20" ht="26.4" customHeight="1">
      <c r="D4" s="184"/>
      <c r="E4" s="357" t="str">
        <f>IFERROR(IF(Moteur!$D$14=3,HYPERLINK("#"&amp;$E$1&amp;"!E"&amp;TEXT(MATCH(Moteur!F40,$C1:$C947,0),"#"),Moteur!F40),IF(Moteur!$D$14=2,HYPERLINK("#"&amp;$E$1&amp;"!E"&amp;TEXT(MATCH(Moteur!F41,$C1:$C947,0),"#"),Moteur!F41),HYPERLINK("#"&amp;$E$1&amp;"!E"&amp;TEXT(MATCH(Moteur!F42,$C1:$C947,0),"#"),Moteur!F42))),"")</f>
        <v>Forêts</v>
      </c>
      <c r="F4" s="624" t="str">
        <f>IFERROR(IF(Moteur!$D$14=3,HYPERLINK("#"&amp;$E$1&amp;"!E"&amp;TEXT(MATCH(Moteur!G40,$C1:$C947,0),"#"),Moteur!G40),IF(Moteur!$D$14=2,HYPERLINK("#"&amp;$E$1&amp;"!E"&amp;TEXT(MATCH(Moteur!G41,$C1:$C947,0),"#"),Moteur!G41),HYPERLINK("#"&amp;$E$1&amp;"!E"&amp;TEXT(MATCH(Moteur!G42,$C1:$C947,0),"#"),Moteur!G42))),"")</f>
        <v>Produits bois</v>
      </c>
      <c r="G4" s="625"/>
      <c r="H4" s="624" t="str">
        <f>IFERROR(IF(Moteur!$D$14=3,HYPERLINK("#"&amp;$E$1&amp;"!E"&amp;TEXT(MATCH(Moteur!H40,$C1:$C947,0),"#"),Moteur!H40),IF(Moteur!$D$14=2,HYPERLINK("#"&amp;$E$1&amp;"!E"&amp;TEXT(MATCH(Moteur!H41,$C1:$C947,0),"#"),Moteur!H41),HYPERLINK("#"&amp;$E$1&amp;"!E"&amp;TEXT(MATCH(Moteur!H42,$C1:$C947,0),"#"),Moteur!H42))),"")</f>
        <v>Autres utilisations des terres</v>
      </c>
      <c r="I4" s="625"/>
      <c r="J4" s="640" t="str">
        <f>HYPERLINK("#"&amp;$E$1&amp;"!E"&amp;TEXT(MATCH(F114,$C1:$C947,0),"#"),F114)</f>
        <v>Emissions de gaz à effet de serre</v>
      </c>
      <c r="K4" s="633"/>
      <c r="L4" s="640"/>
      <c r="M4" s="633"/>
      <c r="O4" s="359" t="str">
        <f>IF(Moteur!$D$6=3,HYPERLINK("#"&amp;Moteur!F5&amp;"!E1",Moteur!F5),IF(Moteur!$D$6=2,HYPERLINK("#"&amp;Moteur!F6&amp;"!E1",Moteur!F6),HYPERLINK("#"&amp;Moteur!F7&amp;"!E1",Moteur!F7)))</f>
        <v>Cadrage</v>
      </c>
      <c r="P4" s="359" t="str">
        <f>IF(Moteur!$D$6=3,HYPERLINK("#"&amp;Moteur!G5&amp;"!E1",Moteur!G5),IF(Moteur!$D$6=2,HYPERLINK("#"&amp;Moteur!G6&amp;"!E1",Moteur!G6),HYPERLINK("#"&amp;Moteur!G7&amp;"!E1",Moteur!G7)))</f>
        <v>Industrie</v>
      </c>
      <c r="Q4" s="360" t="str">
        <f>IF(Moteur!$D$6=3,HYPERLINK("#"&amp;Moteur!H5&amp;"!E1",Moteur!H5),IF(Moteur!$D$6=2,HYPERLINK("#"&amp;Moteur!H6&amp;"!E1",Moteur!H6),HYPERLINK("#"&amp;Moteur!H7&amp;"!E1",Moteur!H7)))</f>
        <v>Agriculture</v>
      </c>
      <c r="R4" s="362" t="str">
        <f>IF(Moteur!$D$6=3,HYPERLINK("#"&amp;Moteur!J5&amp;"!E1",Moteur!J5),IF(Moteur!$D$6=2,HYPERLINK("#"&amp;Moteur!J5&amp;"!E1",Moteur!J5),HYPERLINK("#"&amp;Moteur!J5&amp;"!E1",Moteur!J5)))</f>
        <v>Bilans</v>
      </c>
      <c r="S4" s="358" t="str">
        <f>IF(Moteur!$D$6=3,HYPERLINK("#"&amp;Moteur!K5&amp;"!E1",Moteur!K5),IF(Moteur!$D$6=2,HYPERLINK("#"&amp;Moteur!K5&amp;"!E1",Moteur!K5),HYPERLINK("#"&amp;Moteur!K5&amp;"!E1",Moteur!K5)))</f>
        <v>GES</v>
      </c>
      <c r="T4" s="478">
        <f>IF(Moteur!$D$6=3,HYPERLINK("#"&amp;Moteur!L5&amp;"!E1",Moteur!L5),IF(Moteur!$D$6=2,HYPERLINK("#"&amp;Moteur!L5&amp;"!E1",Moteur!L5),HYPERLINK("#"&amp;Moteur!L5&amp;"!E1",Moteur!L5)))</f>
        <v>0</v>
      </c>
    </row>
    <row r="5" spans="1:20" ht="26.4" customHeight="1">
      <c r="D5" s="184"/>
      <c r="E5" s="357"/>
      <c r="F5" s="624"/>
      <c r="G5" s="625"/>
      <c r="H5" s="624"/>
      <c r="I5" s="625"/>
      <c r="J5" s="632"/>
      <c r="K5" s="633"/>
      <c r="L5" s="632"/>
      <c r="M5" s="633"/>
      <c r="O5" s="359" t="str">
        <f>IF(Moteur!$D$6=3,HYPERLINK("#"&amp;Moteur!F6&amp;"!E1",Moteur!F6),IF(Moteur!$D$6=2,HYPERLINK("#"&amp;Moteur!F7&amp;"!E1",Moteur!F7),""))</f>
        <v>Energie</v>
      </c>
      <c r="P5" s="359" t="str">
        <f>IF(Moteur!$D$6=3,HYPERLINK("#"&amp;Moteur!G6&amp;"!E1",Moteur!G6),IF(Moteur!$D$6=2,HYPERLINK("#"&amp;Moteur!G7&amp;"!E1",Moteur!G7),""))</f>
        <v>Transports</v>
      </c>
      <c r="Q5" s="361" t="str">
        <f>IF(Moteur!$D$6=3,HYPERLINK("#"&amp;Moteur!H6&amp;"!E1",Moteur!H6),IF(Moteur!$D$6=2,HYPERLINK("#"&amp;Moteur!H7&amp;"!E1",Moteur!H7),""))</f>
        <v>Déchets</v>
      </c>
      <c r="R5" s="479">
        <f>IF(Moteur!$D$6=3,HYPERLINK("#"&amp;Moteur!J6&amp;"!E1",Moteur!J6),IF(Moteur!$D$6=2,HYPERLINK("#"&amp;Moteur!J7&amp;"!E1",Moteur!J6),HYPERLINK("#"&amp;Moteur!J5&amp;"!E1",Moteur!J6)))</f>
        <v>0</v>
      </c>
      <c r="S5" s="358" t="str">
        <f>IF(Moteur!$D$6=3,HYPERLINK("#"&amp;Moteur!K6&amp;"!E1",Moteur!K6),IF(Moteur!$D$6=2,HYPERLINK("#"&amp;Moteur!K7&amp;"!E1",Moteur!K6),HYPERLINK("#"&amp;Moteur!K5&amp;"!E1",Moteur!K6)))</f>
        <v xml:space="preserve"> </v>
      </c>
      <c r="T5" s="358" t="str">
        <f>IF(Moteur!$D$6=3,HYPERLINK("#"&amp;Moteur!L6&amp;"!E1",Moteur!L6),IF(Moteur!$D$6=2,HYPERLINK("#"&amp;Moteur!L7&amp;"!E1",Moteur!L6),HYPERLINK("#"&amp;Moteur!L5&amp;"!E1",Moteur!L6)))</f>
        <v xml:space="preserve"> </v>
      </c>
    </row>
    <row r="6" spans="1:20" ht="11.4" customHeight="1">
      <c r="E6" s="152"/>
      <c r="F6" s="152"/>
      <c r="G6" s="152"/>
      <c r="H6" s="152"/>
      <c r="I6" s="152"/>
      <c r="J6" s="152"/>
      <c r="K6" s="152"/>
    </row>
    <row r="8" spans="1:20" ht="32.4" customHeight="1" thickBot="1">
      <c r="A8" s="363"/>
      <c r="C8" s="151" t="str">
        <f>IF(ISBLANK(E8),IF(ISBLANK(F8),"",F8),E8)</f>
        <v>Hypothèses</v>
      </c>
      <c r="D8" s="369"/>
      <c r="E8" s="617" t="s">
        <v>134</v>
      </c>
      <c r="F8" s="617"/>
      <c r="G8" s="617"/>
      <c r="H8" s="617"/>
      <c r="I8" s="617"/>
      <c r="J8" s="617"/>
      <c r="K8" s="617"/>
      <c r="L8" s="617"/>
      <c r="M8" s="369"/>
      <c r="N8" s="149"/>
    </row>
    <row r="9" spans="1:20" ht="15" thickTop="1">
      <c r="A9" s="363"/>
      <c r="C9" s="151" t="str">
        <f t="shared" ref="C9:C102" si="0">IF(ISBLANK(E9),IF(ISBLANK(F9),"",F9),E9)</f>
        <v/>
      </c>
      <c r="D9" s="3"/>
      <c r="E9" s="3"/>
      <c r="F9" s="3"/>
      <c r="G9" s="3"/>
      <c r="H9" s="3"/>
      <c r="I9" s="3"/>
      <c r="J9" s="3"/>
      <c r="K9" s="3"/>
      <c r="L9" s="3"/>
      <c r="M9" s="3"/>
    </row>
    <row r="10" spans="1:20" ht="14.4" customHeight="1">
      <c r="A10" s="363"/>
      <c r="C10" s="151" t="str">
        <f t="shared" si="0"/>
        <v/>
      </c>
      <c r="D10" s="112"/>
      <c r="E10" s="113"/>
      <c r="F10" s="113"/>
      <c r="G10" s="113"/>
      <c r="H10" s="113"/>
      <c r="I10" s="113"/>
      <c r="J10" s="113"/>
      <c r="K10" s="113"/>
      <c r="L10" s="113"/>
      <c r="M10" s="3"/>
    </row>
    <row r="11" spans="1:20" ht="28.8" thickBot="1">
      <c r="A11" s="363"/>
      <c r="B11" s="364"/>
      <c r="C11" s="151" t="str">
        <f t="shared" si="0"/>
        <v>Forêts</v>
      </c>
      <c r="D11" s="369"/>
      <c r="E11" s="370"/>
      <c r="F11" s="617" t="s">
        <v>26</v>
      </c>
      <c r="G11" s="617"/>
      <c r="H11" s="617"/>
      <c r="I11" s="617"/>
      <c r="J11" s="617"/>
      <c r="K11" s="617"/>
      <c r="L11" s="617"/>
      <c r="M11" s="617"/>
    </row>
    <row r="12" spans="1:20" ht="15" thickTop="1">
      <c r="A12" s="363"/>
      <c r="B12" s="364"/>
      <c r="C12" s="151" t="str">
        <f t="shared" si="0"/>
        <v/>
      </c>
    </row>
    <row r="13" spans="1:20" outlineLevel="1">
      <c r="A13" s="363"/>
      <c r="B13" s="364"/>
      <c r="C13" s="151" t="str">
        <f t="shared" si="0"/>
        <v/>
      </c>
      <c r="D13" s="115"/>
      <c r="E13" s="115"/>
      <c r="F13" s="115"/>
      <c r="G13" s="115"/>
      <c r="H13" s="115"/>
      <c r="I13" s="115"/>
      <c r="J13" s="115"/>
      <c r="K13" s="115"/>
      <c r="L13" s="115"/>
      <c r="M13" s="115"/>
    </row>
    <row r="14" spans="1:20" outlineLevel="1">
      <c r="A14" s="363"/>
      <c r="B14" s="364"/>
      <c r="C14" s="151" t="str">
        <f t="shared" si="0"/>
        <v/>
      </c>
      <c r="D14" s="115"/>
      <c r="E14" s="115"/>
      <c r="F14" s="115"/>
      <c r="G14" s="115"/>
      <c r="H14" s="115"/>
      <c r="I14" s="115"/>
      <c r="J14" s="115"/>
      <c r="K14" s="115"/>
      <c r="L14" s="115"/>
      <c r="M14" s="115"/>
    </row>
    <row r="15" spans="1:20" ht="15" outlineLevel="1" thickBot="1">
      <c r="A15" s="363"/>
      <c r="B15" s="364"/>
      <c r="C15" s="151" t="str">
        <f t="shared" si="0"/>
        <v>Evolution de la mortalité et de l'accroissement (MtCO2)</v>
      </c>
      <c r="D15" s="115"/>
      <c r="E15" s="615" t="s">
        <v>905</v>
      </c>
      <c r="F15" s="615"/>
      <c r="G15" s="615"/>
      <c r="H15" s="615"/>
      <c r="I15" s="615"/>
      <c r="J15" s="615"/>
      <c r="K15" s="615"/>
      <c r="L15" s="615"/>
      <c r="M15" s="115"/>
    </row>
    <row r="16" spans="1:20" outlineLevel="2">
      <c r="A16" s="363"/>
      <c r="B16" s="364"/>
      <c r="C16" s="151" t="str">
        <f t="shared" si="0"/>
        <v>MtCO2</v>
      </c>
      <c r="D16" s="115"/>
      <c r="E16" s="200" t="s">
        <v>132</v>
      </c>
      <c r="F16" s="201" t="s">
        <v>677</v>
      </c>
      <c r="G16" s="201" t="s">
        <v>314</v>
      </c>
      <c r="H16" s="201" t="s">
        <v>125</v>
      </c>
      <c r="I16" s="201" t="s">
        <v>315</v>
      </c>
      <c r="J16" s="201" t="s">
        <v>316</v>
      </c>
      <c r="K16" s="201" t="s">
        <v>317</v>
      </c>
      <c r="L16" s="202" t="s">
        <v>133</v>
      </c>
      <c r="M16" s="115"/>
    </row>
    <row r="17" spans="1:13" outlineLevel="2">
      <c r="A17" s="363"/>
      <c r="B17" s="364"/>
      <c r="C17" s="151" t="str">
        <f t="shared" si="0"/>
        <v>Mortalité</v>
      </c>
      <c r="D17" s="115"/>
      <c r="E17" s="193" t="s">
        <v>906</v>
      </c>
      <c r="F17" s="135">
        <v>37.947573519680375</v>
      </c>
      <c r="G17" s="136"/>
      <c r="H17" s="136">
        <v>31.9968</v>
      </c>
      <c r="I17" s="136"/>
      <c r="J17" s="136">
        <v>32.996699999999997</v>
      </c>
      <c r="K17" s="136"/>
      <c r="L17" s="195">
        <v>34.996499999999997</v>
      </c>
      <c r="M17" s="115"/>
    </row>
    <row r="18" spans="1:13" ht="15" outlineLevel="2" thickBot="1">
      <c r="A18" s="363"/>
      <c r="B18" s="364"/>
      <c r="C18" s="151" t="str">
        <f t="shared" si="0"/>
        <v>Accroissement</v>
      </c>
      <c r="D18" s="115"/>
      <c r="E18" s="193" t="s">
        <v>907</v>
      </c>
      <c r="F18" s="135">
        <v>144.93250744071864</v>
      </c>
      <c r="G18" s="136"/>
      <c r="H18" s="136">
        <v>137.09828880000003</v>
      </c>
      <c r="I18" s="136"/>
      <c r="J18" s="136">
        <v>136.25837280000005</v>
      </c>
      <c r="K18" s="136"/>
      <c r="L18" s="195">
        <v>136.47435120000003</v>
      </c>
      <c r="M18" s="115"/>
    </row>
    <row r="19" spans="1:13" ht="14.4" customHeight="1" outlineLevel="2">
      <c r="A19" s="363"/>
      <c r="B19" s="364"/>
      <c r="C19" s="151" t="str">
        <f t="shared" si="0"/>
        <v>Périmètre hexagone</v>
      </c>
      <c r="D19" s="115"/>
      <c r="E19" s="616" t="s">
        <v>970</v>
      </c>
      <c r="F19" s="616"/>
      <c r="G19" s="616"/>
      <c r="H19" s="616"/>
      <c r="I19" s="616"/>
      <c r="J19" s="616"/>
      <c r="K19" s="616"/>
      <c r="L19" s="616"/>
      <c r="M19" s="115"/>
    </row>
    <row r="20" spans="1:13" outlineLevel="1">
      <c r="A20" s="363"/>
      <c r="B20" s="364"/>
      <c r="C20" s="151" t="str">
        <f t="shared" si="0"/>
        <v/>
      </c>
      <c r="D20" s="115"/>
      <c r="E20" s="481"/>
      <c r="F20" s="115"/>
      <c r="G20" s="115"/>
      <c r="H20" s="115"/>
      <c r="I20" s="115"/>
      <c r="J20" s="115"/>
      <c r="K20" s="115"/>
      <c r="L20" s="115"/>
      <c r="M20" s="115"/>
    </row>
    <row r="21" spans="1:13" ht="15" outlineLevel="1" thickBot="1">
      <c r="A21" s="363"/>
      <c r="B21" s="364"/>
      <c r="C21" s="151" t="str">
        <f t="shared" si="0"/>
        <v>Evolution de la récolte (Mm^3)</v>
      </c>
      <c r="D21" s="115"/>
      <c r="E21" s="615" t="s">
        <v>908</v>
      </c>
      <c r="F21" s="615"/>
      <c r="G21" s="615"/>
      <c r="H21" s="615"/>
      <c r="I21" s="615"/>
      <c r="J21" s="615"/>
      <c r="K21" s="615"/>
      <c r="L21" s="615"/>
      <c r="M21" s="115"/>
    </row>
    <row r="22" spans="1:13" outlineLevel="2">
      <c r="A22" s="363"/>
      <c r="B22" s="364"/>
      <c r="C22" s="151" t="str">
        <f t="shared" si="0"/>
        <v>Mm^3</v>
      </c>
      <c r="D22" s="115"/>
      <c r="E22" s="200" t="s">
        <v>910</v>
      </c>
      <c r="F22" s="201" t="s">
        <v>677</v>
      </c>
      <c r="G22" s="201" t="s">
        <v>314</v>
      </c>
      <c r="H22" s="201" t="s">
        <v>125</v>
      </c>
      <c r="I22" s="201" t="s">
        <v>315</v>
      </c>
      <c r="J22" s="201" t="s">
        <v>316</v>
      </c>
      <c r="K22" s="201" t="s">
        <v>317</v>
      </c>
      <c r="L22" s="202" t="s">
        <v>133</v>
      </c>
      <c r="M22" s="115"/>
    </row>
    <row r="23" spans="1:13" outlineLevel="2">
      <c r="A23" s="363"/>
      <c r="B23" s="364"/>
      <c r="C23" s="151"/>
      <c r="D23" s="115"/>
      <c r="E23" s="192" t="s">
        <v>1003</v>
      </c>
      <c r="F23" s="132">
        <f>SUM(F24:F28)</f>
        <v>50.140327000000006</v>
      </c>
      <c r="G23" s="133"/>
      <c r="H23" s="133">
        <f>SUM(H24:H28)</f>
        <v>55</v>
      </c>
      <c r="I23" s="133"/>
      <c r="J23" s="133">
        <f>SUM(J24:J28)</f>
        <v>55</v>
      </c>
      <c r="K23" s="133"/>
      <c r="L23" s="133">
        <f>SUM(L24:L28)</f>
        <v>55</v>
      </c>
      <c r="M23" s="115"/>
    </row>
    <row r="24" spans="1:13" outlineLevel="2">
      <c r="A24" s="363"/>
      <c r="B24" s="364"/>
      <c r="C24" s="151"/>
      <c r="D24" s="115"/>
      <c r="E24" s="200" t="s">
        <v>997</v>
      </c>
      <c r="F24" s="354">
        <v>4.7513559999999995</v>
      </c>
      <c r="G24" s="411"/>
      <c r="H24" s="412">
        <v>5.312359303246998</v>
      </c>
      <c r="I24" s="411"/>
      <c r="J24" s="412">
        <v>5.3720279057941038</v>
      </c>
      <c r="K24" s="411"/>
      <c r="L24" s="412">
        <v>5.7170657717452267</v>
      </c>
      <c r="M24" s="115"/>
    </row>
    <row r="25" spans="1:13" outlineLevel="2">
      <c r="A25" s="363"/>
      <c r="B25" s="364"/>
      <c r="C25" s="151"/>
      <c r="D25" s="115"/>
      <c r="E25" s="200" t="s">
        <v>998</v>
      </c>
      <c r="F25" s="354">
        <v>13.71161</v>
      </c>
      <c r="G25" s="411"/>
      <c r="H25" s="412">
        <v>12.893089201684701</v>
      </c>
      <c r="I25" s="411"/>
      <c r="J25" s="412">
        <v>13.022046442375569</v>
      </c>
      <c r="K25" s="411"/>
      <c r="L25" s="412">
        <v>13.022982674055946</v>
      </c>
      <c r="M25" s="115"/>
    </row>
    <row r="26" spans="1:13" outlineLevel="2">
      <c r="A26" s="363"/>
      <c r="B26" s="364"/>
      <c r="C26" s="151"/>
      <c r="D26" s="115"/>
      <c r="E26" s="200" t="s">
        <v>999</v>
      </c>
      <c r="F26" s="354">
        <v>4.1042439999999996</v>
      </c>
      <c r="G26" s="411"/>
      <c r="H26" s="412">
        <v>5.5045304185072403</v>
      </c>
      <c r="I26" s="411"/>
      <c r="J26" s="412">
        <v>5.6335419155670516</v>
      </c>
      <c r="K26" s="411"/>
      <c r="L26" s="412">
        <v>5.5848508697786983</v>
      </c>
      <c r="M26" s="115"/>
    </row>
    <row r="27" spans="1:13" outlineLevel="2">
      <c r="A27" s="363"/>
      <c r="B27" s="364"/>
      <c r="C27" s="151"/>
      <c r="D27" s="115"/>
      <c r="E27" s="193" t="s">
        <v>1000</v>
      </c>
      <c r="F27" s="354">
        <v>5.9181170000000005</v>
      </c>
      <c r="G27" s="136"/>
      <c r="H27" s="412">
        <v>6.7184442844654999</v>
      </c>
      <c r="I27" s="136"/>
      <c r="J27" s="412">
        <v>5.9493654765475217</v>
      </c>
      <c r="K27" s="136"/>
      <c r="L27" s="412">
        <v>5.6624623444108186</v>
      </c>
      <c r="M27" s="115"/>
    </row>
    <row r="28" spans="1:13" outlineLevel="2">
      <c r="A28" s="363"/>
      <c r="B28" s="364"/>
      <c r="C28" s="151"/>
      <c r="D28" s="115"/>
      <c r="E28" s="193" t="s">
        <v>1001</v>
      </c>
      <c r="F28" s="135">
        <v>21.655000000000001</v>
      </c>
      <c r="G28" s="136"/>
      <c r="H28" s="136">
        <v>24.571576792095563</v>
      </c>
      <c r="I28" s="136"/>
      <c r="J28" s="136">
        <v>25.023018259715755</v>
      </c>
      <c r="K28" s="136"/>
      <c r="L28" s="195">
        <v>25.012638340009314</v>
      </c>
      <c r="M28" s="115"/>
    </row>
    <row r="29" spans="1:13" ht="15" outlineLevel="2" thickBot="1">
      <c r="A29" s="363"/>
      <c r="B29" s="364"/>
      <c r="C29" s="151" t="str">
        <f>IF(ISBLANK(E27),IF(ISBLANK(F27),"",F27),E27)</f>
        <v>Résineux bois d'industrie</v>
      </c>
      <c r="D29" s="115"/>
      <c r="E29" s="196" t="s">
        <v>1002</v>
      </c>
      <c r="F29" s="197">
        <v>13.148</v>
      </c>
      <c r="G29" s="198"/>
      <c r="H29" s="198">
        <v>14.422323173121708</v>
      </c>
      <c r="I29" s="198"/>
      <c r="J29" s="198">
        <v>14.422323173121708</v>
      </c>
      <c r="K29" s="198"/>
      <c r="L29" s="199">
        <v>14.422323173121708</v>
      </c>
      <c r="M29" s="115"/>
    </row>
    <row r="30" spans="1:13" ht="14.4" customHeight="1" outlineLevel="2">
      <c r="A30" s="363"/>
      <c r="B30" s="364"/>
      <c r="C30" s="151" t="str">
        <f t="shared" si="0"/>
        <v>Périmètre hexagone</v>
      </c>
      <c r="D30" s="115"/>
      <c r="E30" s="616" t="s">
        <v>970</v>
      </c>
      <c r="F30" s="616"/>
      <c r="G30" s="616"/>
      <c r="H30" s="616"/>
      <c r="I30" s="616"/>
      <c r="J30" s="616"/>
      <c r="K30" s="616"/>
      <c r="L30" s="616"/>
      <c r="M30" s="115"/>
    </row>
    <row r="31" spans="1:13" outlineLevel="1">
      <c r="A31" s="363"/>
      <c r="B31" s="364"/>
      <c r="C31" s="151"/>
      <c r="D31" s="115"/>
      <c r="E31" s="115"/>
      <c r="F31" s="115"/>
      <c r="G31" s="115"/>
      <c r="H31" s="115"/>
      <c r="I31" s="115"/>
      <c r="J31" s="115"/>
      <c r="K31" s="115"/>
      <c r="L31" s="115"/>
      <c r="M31" s="115"/>
    </row>
    <row r="32" spans="1:13" ht="15" outlineLevel="1" thickBot="1">
      <c r="A32" s="363"/>
      <c r="B32" s="364"/>
      <c r="C32" s="151"/>
      <c r="D32" s="115"/>
      <c r="E32" s="627" t="s">
        <v>909</v>
      </c>
      <c r="F32" s="627"/>
      <c r="G32" s="627"/>
      <c r="H32" s="627"/>
      <c r="I32" s="627"/>
      <c r="J32" s="627"/>
      <c r="K32" s="627"/>
      <c r="L32" s="627"/>
      <c r="M32" s="115"/>
    </row>
    <row r="33" spans="1:13" outlineLevel="2">
      <c r="A33" s="363"/>
      <c r="B33" s="364"/>
      <c r="C33" s="151"/>
      <c r="D33" s="115"/>
      <c r="E33" s="215" t="s">
        <v>132</v>
      </c>
      <c r="F33" s="434" t="s">
        <v>313</v>
      </c>
      <c r="G33" s="434" t="s">
        <v>314</v>
      </c>
      <c r="H33" s="434" t="s">
        <v>125</v>
      </c>
      <c r="I33" s="434" t="s">
        <v>315</v>
      </c>
      <c r="J33" s="434" t="s">
        <v>316</v>
      </c>
      <c r="K33" s="434" t="s">
        <v>317</v>
      </c>
      <c r="L33" s="435" t="s">
        <v>133</v>
      </c>
      <c r="M33" s="115"/>
    </row>
    <row r="34" spans="1:13" ht="15" outlineLevel="2" thickBot="1">
      <c r="A34" s="363"/>
      <c r="B34" s="364"/>
      <c r="C34" s="151"/>
      <c r="D34" s="481"/>
      <c r="E34" s="332" t="s">
        <v>1004</v>
      </c>
      <c r="F34" s="416">
        <v>74</v>
      </c>
      <c r="G34" s="417">
        <v>77</v>
      </c>
      <c r="H34" s="417">
        <v>77</v>
      </c>
      <c r="I34" s="417"/>
      <c r="J34" s="417">
        <v>77</v>
      </c>
      <c r="K34" s="417"/>
      <c r="L34" s="418">
        <v>77</v>
      </c>
      <c r="M34" s="115"/>
    </row>
    <row r="35" spans="1:13" outlineLevel="2">
      <c r="A35" s="363"/>
      <c r="B35" s="364"/>
      <c r="C35" s="151"/>
      <c r="D35" s="115"/>
      <c r="E35" s="616" t="s">
        <v>970</v>
      </c>
      <c r="F35" s="616"/>
      <c r="G35" s="616"/>
      <c r="H35" s="616"/>
      <c r="I35" s="616"/>
      <c r="J35" s="616"/>
      <c r="K35" s="616"/>
      <c r="L35" s="616"/>
      <c r="M35" s="115"/>
    </row>
    <row r="36" spans="1:13" outlineLevel="1">
      <c r="A36" s="363"/>
      <c r="B36" s="364"/>
      <c r="C36" s="151"/>
      <c r="D36" s="115"/>
      <c r="E36" s="115"/>
      <c r="F36" s="115"/>
      <c r="G36" s="115"/>
      <c r="H36" s="115"/>
      <c r="I36" s="115"/>
      <c r="J36" s="115"/>
      <c r="K36" s="115"/>
      <c r="L36" s="115"/>
      <c r="M36" s="115"/>
    </row>
    <row r="37" spans="1:13" ht="15" outlineLevel="1" thickBot="1">
      <c r="A37" s="363"/>
      <c r="B37" s="364"/>
      <c r="C37" s="151"/>
      <c r="D37" s="115"/>
      <c r="E37" s="615" t="s">
        <v>994</v>
      </c>
      <c r="F37" s="615"/>
      <c r="G37" s="615"/>
      <c r="H37" s="615"/>
      <c r="I37" s="615"/>
      <c r="J37" s="615"/>
      <c r="K37" s="615"/>
      <c r="L37" s="615"/>
      <c r="M37" s="115"/>
    </row>
    <row r="38" spans="1:13" outlineLevel="2">
      <c r="A38" s="363"/>
      <c r="B38" s="364"/>
      <c r="C38" s="151"/>
      <c r="D38" s="115"/>
      <c r="E38" s="200" t="s">
        <v>912</v>
      </c>
      <c r="F38" s="201" t="s">
        <v>313</v>
      </c>
      <c r="G38" s="201" t="s">
        <v>314</v>
      </c>
      <c r="H38" s="201" t="s">
        <v>125</v>
      </c>
      <c r="I38" s="201" t="s">
        <v>315</v>
      </c>
      <c r="J38" s="201" t="s">
        <v>316</v>
      </c>
      <c r="K38" s="201" t="s">
        <v>317</v>
      </c>
      <c r="L38" s="202" t="s">
        <v>133</v>
      </c>
      <c r="M38" s="115"/>
    </row>
    <row r="39" spans="1:13" outlineLevel="2">
      <c r="A39" s="363"/>
      <c r="B39" s="364"/>
      <c r="C39" s="151"/>
      <c r="D39" s="115"/>
      <c r="E39" s="193" t="s">
        <v>911</v>
      </c>
      <c r="F39" s="135">
        <v>76.395932808082307</v>
      </c>
      <c r="G39" s="136">
        <v>50</v>
      </c>
      <c r="H39" s="136">
        <v>25</v>
      </c>
      <c r="I39" s="136"/>
      <c r="J39" s="136">
        <v>20</v>
      </c>
      <c r="K39" s="136"/>
      <c r="L39" s="195">
        <v>15</v>
      </c>
      <c r="M39" s="115"/>
    </row>
    <row r="40" spans="1:13" ht="15" outlineLevel="2" thickBot="1">
      <c r="A40" s="363"/>
      <c r="B40" s="364"/>
      <c r="C40" s="151"/>
      <c r="D40" s="115"/>
      <c r="E40" s="193" t="s">
        <v>1005</v>
      </c>
      <c r="F40" s="135">
        <v>0</v>
      </c>
      <c r="G40" s="136">
        <v>2</v>
      </c>
      <c r="H40" s="136">
        <v>2</v>
      </c>
      <c r="I40" s="136"/>
      <c r="J40" s="136">
        <v>2</v>
      </c>
      <c r="K40" s="136"/>
      <c r="L40" s="195">
        <v>2</v>
      </c>
      <c r="M40" s="115"/>
    </row>
    <row r="41" spans="1:13" outlineLevel="2">
      <c r="A41" s="363"/>
      <c r="B41" s="364"/>
      <c r="C41" s="151"/>
      <c r="D41" s="115"/>
      <c r="E41" s="616" t="s">
        <v>970</v>
      </c>
      <c r="F41" s="616"/>
      <c r="G41" s="616"/>
      <c r="H41" s="616"/>
      <c r="I41" s="616"/>
      <c r="J41" s="616"/>
      <c r="K41" s="616"/>
      <c r="L41" s="616"/>
      <c r="M41" s="115"/>
    </row>
    <row r="42" spans="1:13" outlineLevel="1">
      <c r="A42" s="363"/>
      <c r="B42" s="364"/>
      <c r="C42" s="151"/>
      <c r="D42" s="115"/>
      <c r="E42" s="480"/>
      <c r="F42" s="480"/>
      <c r="G42" s="480"/>
      <c r="H42" s="480"/>
      <c r="I42" s="480"/>
      <c r="J42" s="480"/>
      <c r="K42" s="480"/>
      <c r="L42" s="480"/>
      <c r="M42" s="115"/>
    </row>
    <row r="43" spans="1:13" ht="15" outlineLevel="1" thickBot="1">
      <c r="A43" s="363"/>
      <c r="B43" s="364"/>
      <c r="C43" s="151"/>
      <c r="D43" s="115"/>
      <c r="E43" s="615" t="s">
        <v>1007</v>
      </c>
      <c r="F43" s="615"/>
      <c r="G43" s="615"/>
      <c r="H43" s="615"/>
      <c r="I43" s="615"/>
      <c r="J43" s="615"/>
      <c r="K43" s="615"/>
      <c r="L43" s="615"/>
      <c r="M43" s="115"/>
    </row>
    <row r="44" spans="1:13" outlineLevel="2">
      <c r="A44" s="363"/>
      <c r="B44" s="364"/>
      <c r="C44" s="151"/>
      <c r="D44" s="115"/>
      <c r="E44" s="119" t="s">
        <v>408</v>
      </c>
      <c r="F44" s="130">
        <v>2020</v>
      </c>
      <c r="G44" s="130">
        <v>2025</v>
      </c>
      <c r="H44" s="130">
        <v>2030</v>
      </c>
      <c r="I44" s="130">
        <v>2035</v>
      </c>
      <c r="J44" s="130">
        <v>2040</v>
      </c>
      <c r="K44" s="130">
        <v>2045</v>
      </c>
      <c r="L44" s="131">
        <v>2050</v>
      </c>
      <c r="M44" s="115"/>
    </row>
    <row r="45" spans="1:13" ht="15" outlineLevel="2" thickBot="1">
      <c r="A45" s="363"/>
      <c r="B45" s="364"/>
      <c r="C45" s="151"/>
      <c r="D45" s="115"/>
      <c r="E45" s="179" t="s">
        <v>1006</v>
      </c>
      <c r="F45" s="483">
        <v>18459.551558846048</v>
      </c>
      <c r="G45" s="484"/>
      <c r="H45" s="484">
        <v>18779.026857059711</v>
      </c>
      <c r="I45" s="484"/>
      <c r="J45" s="484"/>
      <c r="K45" s="484"/>
      <c r="L45" s="484">
        <v>19013.941996889938</v>
      </c>
      <c r="M45" s="115"/>
    </row>
    <row r="46" spans="1:13" outlineLevel="2">
      <c r="A46" s="363"/>
      <c r="B46" s="364"/>
      <c r="C46" s="151"/>
      <c r="D46" s="115"/>
      <c r="E46" s="616" t="s">
        <v>970</v>
      </c>
      <c r="F46" s="616"/>
      <c r="G46" s="616"/>
      <c r="H46" s="616"/>
      <c r="I46" s="616"/>
      <c r="J46" s="616"/>
      <c r="K46" s="616"/>
      <c r="L46" s="616"/>
      <c r="M46" s="115"/>
    </row>
    <row r="47" spans="1:13" outlineLevel="1">
      <c r="A47" s="363"/>
      <c r="B47" s="364"/>
      <c r="C47" s="151"/>
      <c r="D47" s="115"/>
      <c r="E47" s="290"/>
      <c r="F47" s="290"/>
      <c r="G47" s="290"/>
      <c r="H47" s="290"/>
      <c r="I47" s="290"/>
      <c r="J47" s="290"/>
      <c r="K47" s="290"/>
      <c r="L47" s="290"/>
      <c r="M47" s="115"/>
    </row>
    <row r="48" spans="1:13" ht="15" outlineLevel="1" thickBot="1">
      <c r="A48" s="363"/>
      <c r="B48" s="364"/>
      <c r="C48" s="151"/>
      <c r="D48" s="115"/>
      <c r="E48" s="615" t="s">
        <v>931</v>
      </c>
      <c r="F48" s="615"/>
      <c r="G48" s="615"/>
      <c r="H48" s="615"/>
      <c r="I48" s="615"/>
      <c r="J48" s="615"/>
      <c r="K48" s="615"/>
      <c r="L48" s="615"/>
      <c r="M48" s="115"/>
    </row>
    <row r="49" spans="1:13" outlineLevel="2">
      <c r="A49" s="363"/>
      <c r="B49" s="364"/>
      <c r="C49" s="151"/>
      <c r="D49" s="115"/>
      <c r="E49" s="200" t="s">
        <v>132</v>
      </c>
      <c r="F49" s="201" t="s">
        <v>677</v>
      </c>
      <c r="G49" s="201" t="s">
        <v>314</v>
      </c>
      <c r="H49" s="201" t="s">
        <v>125</v>
      </c>
      <c r="I49" s="201" t="s">
        <v>315</v>
      </c>
      <c r="J49" s="201" t="s">
        <v>316</v>
      </c>
      <c r="K49" s="201" t="s">
        <v>317</v>
      </c>
      <c r="L49" s="202" t="s">
        <v>133</v>
      </c>
      <c r="M49" s="115"/>
    </row>
    <row r="50" spans="1:13" outlineLevel="2">
      <c r="A50" s="363"/>
      <c r="B50" s="364"/>
      <c r="C50" s="151"/>
      <c r="D50" s="115"/>
      <c r="E50" s="193" t="s">
        <v>932</v>
      </c>
      <c r="F50" s="135">
        <v>8.1999999999999993</v>
      </c>
      <c r="G50" s="136">
        <v>8.1999999999999993</v>
      </c>
      <c r="H50" s="136">
        <v>8.1999999999999993</v>
      </c>
      <c r="I50" s="136"/>
      <c r="J50" s="136">
        <v>8.1999999999999993</v>
      </c>
      <c r="K50" s="136"/>
      <c r="L50" s="195">
        <v>8.1999999999999993</v>
      </c>
      <c r="M50" s="115"/>
    </row>
    <row r="51" spans="1:13" ht="15" outlineLevel="2" thickBot="1">
      <c r="A51" s="363"/>
      <c r="B51" s="364"/>
      <c r="C51" s="151"/>
      <c r="D51" s="115"/>
      <c r="E51" s="193" t="s">
        <v>926</v>
      </c>
      <c r="F51" s="135">
        <v>10</v>
      </c>
      <c r="G51" s="136">
        <v>16.2</v>
      </c>
      <c r="H51" s="136">
        <v>5.9</v>
      </c>
      <c r="I51" s="136"/>
      <c r="J51" s="136">
        <v>3.9101072114509634</v>
      </c>
      <c r="K51" s="136"/>
      <c r="L51" s="195">
        <v>2.8</v>
      </c>
      <c r="M51" s="115"/>
    </row>
    <row r="52" spans="1:13" outlineLevel="2">
      <c r="A52" s="363"/>
      <c r="B52" s="364"/>
      <c r="C52" s="151"/>
      <c r="D52" s="115"/>
      <c r="E52" s="637" t="s">
        <v>1009</v>
      </c>
      <c r="F52" s="637"/>
      <c r="G52" s="637"/>
      <c r="H52" s="637"/>
      <c r="I52" s="637"/>
      <c r="J52" s="637"/>
      <c r="K52" s="637"/>
      <c r="L52" s="637"/>
      <c r="M52" s="115"/>
    </row>
    <row r="53" spans="1:13" outlineLevel="1">
      <c r="A53" s="363"/>
      <c r="B53" s="364"/>
      <c r="C53" s="151"/>
      <c r="D53" s="115"/>
      <c r="E53" s="481"/>
      <c r="F53" s="115"/>
      <c r="G53" s="115"/>
      <c r="H53" s="115"/>
      <c r="I53" s="115"/>
      <c r="J53" s="115"/>
      <c r="K53" s="115"/>
      <c r="L53" s="115"/>
      <c r="M53" s="115"/>
    </row>
    <row r="54" spans="1:13" outlineLevel="1">
      <c r="A54" s="363"/>
      <c r="B54" s="364"/>
      <c r="C54" s="151"/>
      <c r="D54" s="115"/>
      <c r="E54" s="115"/>
      <c r="F54" s="115"/>
      <c r="G54" s="115"/>
      <c r="H54" s="115"/>
      <c r="I54" s="115"/>
      <c r="J54" s="115"/>
      <c r="K54" s="115"/>
      <c r="L54" s="115"/>
      <c r="M54" s="115"/>
    </row>
    <row r="55" spans="1:13" ht="28.8" thickBot="1">
      <c r="A55" s="363"/>
      <c r="B55" s="364"/>
      <c r="C55" s="151" t="str">
        <f t="shared" si="0"/>
        <v>Produits bois</v>
      </c>
      <c r="D55" s="369"/>
      <c r="E55" s="370"/>
      <c r="F55" s="617" t="s">
        <v>29</v>
      </c>
      <c r="G55" s="617"/>
      <c r="H55" s="617"/>
      <c r="I55" s="617"/>
      <c r="J55" s="617"/>
      <c r="K55" s="617"/>
      <c r="L55" s="617"/>
      <c r="M55" s="617"/>
    </row>
    <row r="56" spans="1:13" ht="13.2" customHeight="1" thickTop="1">
      <c r="A56" s="363"/>
      <c r="B56" s="365"/>
      <c r="C56" s="151" t="str">
        <f t="shared" si="0"/>
        <v/>
      </c>
      <c r="D56" s="401"/>
      <c r="E56" s="401"/>
      <c r="F56" s="401"/>
    </row>
    <row r="57" spans="1:13" ht="14.4" customHeight="1" outlineLevel="1">
      <c r="A57" s="363"/>
      <c r="B57" s="365"/>
      <c r="C57" s="151" t="str">
        <f t="shared" si="0"/>
        <v/>
      </c>
      <c r="D57" s="115"/>
      <c r="E57" s="115"/>
      <c r="F57" s="115"/>
      <c r="G57" s="115"/>
      <c r="H57" s="115"/>
      <c r="I57" s="115"/>
      <c r="J57" s="115"/>
      <c r="K57" s="115"/>
      <c r="L57" s="115"/>
      <c r="M57" s="115"/>
    </row>
    <row r="58" spans="1:13" ht="15" customHeight="1" outlineLevel="1">
      <c r="A58" s="363"/>
      <c r="B58" s="365"/>
      <c r="C58" s="151" t="str">
        <f t="shared" si="0"/>
        <v/>
      </c>
      <c r="D58" s="115"/>
      <c r="E58" s="115"/>
      <c r="F58" s="115"/>
      <c r="G58" s="115"/>
      <c r="H58" s="115"/>
      <c r="I58" s="115"/>
      <c r="J58" s="115"/>
      <c r="K58" s="115"/>
      <c r="L58" s="115"/>
      <c r="M58" s="115"/>
    </row>
    <row r="59" spans="1:13" ht="15" outlineLevel="1" thickBot="1">
      <c r="A59" s="363"/>
      <c r="B59" s="365"/>
      <c r="C59" s="151" t="str">
        <f t="shared" si="0"/>
        <v>Allocation de la récolte dans les produits bois, le papier et l'énergie (%)</v>
      </c>
      <c r="D59" s="115"/>
      <c r="E59" s="615" t="s">
        <v>995</v>
      </c>
      <c r="F59" s="615"/>
      <c r="G59" s="615"/>
      <c r="H59" s="615"/>
      <c r="I59" s="615"/>
      <c r="J59" s="615"/>
      <c r="K59" s="615"/>
      <c r="L59" s="615"/>
      <c r="M59" s="115"/>
    </row>
    <row r="60" spans="1:13" outlineLevel="2">
      <c r="A60" s="363"/>
      <c r="B60" s="365"/>
      <c r="C60" s="151" t="str">
        <f t="shared" si="0"/>
        <v>Part de la récolte (%)</v>
      </c>
      <c r="D60" s="115"/>
      <c r="E60" s="227" t="s">
        <v>913</v>
      </c>
      <c r="F60" s="228">
        <v>2021</v>
      </c>
      <c r="G60" s="228">
        <v>2025</v>
      </c>
      <c r="H60" s="228">
        <v>2030</v>
      </c>
      <c r="I60" s="228">
        <v>2035</v>
      </c>
      <c r="J60" s="228">
        <v>2040</v>
      </c>
      <c r="K60" s="228">
        <v>2045</v>
      </c>
      <c r="L60" s="229">
        <v>2050</v>
      </c>
      <c r="M60" s="115"/>
    </row>
    <row r="61" spans="1:13" outlineLevel="2">
      <c r="A61" s="363"/>
      <c r="B61" s="365"/>
      <c r="C61" s="151" t="str">
        <f t="shared" si="0"/>
        <v>Produits bois</v>
      </c>
      <c r="D61" s="115"/>
      <c r="E61" s="265" t="s">
        <v>29</v>
      </c>
      <c r="F61" s="410">
        <v>0.2</v>
      </c>
      <c r="G61" s="408">
        <v>0.21199999999999999</v>
      </c>
      <c r="H61" s="408">
        <v>0.216</v>
      </c>
      <c r="I61" s="408"/>
      <c r="J61" s="408">
        <f>SUM(J62,J68)</f>
        <v>0.21878758884636409</v>
      </c>
      <c r="K61" s="408"/>
      <c r="L61" s="419">
        <v>0.222</v>
      </c>
      <c r="M61" s="115"/>
    </row>
    <row r="62" spans="1:13" outlineLevel="2">
      <c r="A62" s="363"/>
      <c r="B62" s="365"/>
      <c r="C62" s="151" t="str">
        <f t="shared" si="0"/>
        <v>dont sciages</v>
      </c>
      <c r="D62" s="115"/>
      <c r="E62" s="265" t="s">
        <v>914</v>
      </c>
      <c r="F62" s="177">
        <v>8.5000000000000006E-2</v>
      </c>
      <c r="G62" s="174">
        <v>9.4E-2</v>
      </c>
      <c r="H62" s="174">
        <v>9.5000000000000001E-2</v>
      </c>
      <c r="I62" s="174"/>
      <c r="J62" s="174">
        <v>9.7787588846364099E-2</v>
      </c>
      <c r="K62" s="174"/>
      <c r="L62" s="420">
        <v>0.10100000000000001</v>
      </c>
      <c r="M62" s="115"/>
    </row>
    <row r="63" spans="1:13" outlineLevel="2">
      <c r="A63" s="363"/>
      <c r="B63" s="365"/>
      <c r="C63" s="151" t="str">
        <f t="shared" si="0"/>
        <v>Emballages en bois</v>
      </c>
      <c r="D63" s="115"/>
      <c r="E63" s="424" t="s">
        <v>915</v>
      </c>
      <c r="F63" s="177">
        <v>2.5999999999999999E-2</v>
      </c>
      <c r="G63" s="174">
        <v>0.03</v>
      </c>
      <c r="H63" s="174">
        <v>3.1E-2</v>
      </c>
      <c r="I63" s="174"/>
      <c r="J63" s="174">
        <v>3.2999999999999988E-2</v>
      </c>
      <c r="K63" s="174"/>
      <c r="L63" s="420">
        <v>3.5000000000000003E-2</v>
      </c>
      <c r="M63" s="115"/>
    </row>
    <row r="64" spans="1:13" outlineLevel="2">
      <c r="A64" s="363"/>
      <c r="B64" s="365"/>
      <c r="C64" s="151" t="str">
        <f t="shared" si="0"/>
        <v>Ameublement</v>
      </c>
      <c r="D64" s="115"/>
      <c r="E64" s="424" t="s">
        <v>916</v>
      </c>
      <c r="F64" s="177">
        <v>2E-3</v>
      </c>
      <c r="G64" s="174">
        <v>2E-3</v>
      </c>
      <c r="H64" s="174">
        <v>2E-3</v>
      </c>
      <c r="I64" s="174"/>
      <c r="J64" s="174">
        <v>2.3668671405139416E-3</v>
      </c>
      <c r="K64" s="174"/>
      <c r="L64" s="420">
        <v>3.0000000000000001E-3</v>
      </c>
      <c r="M64" s="115"/>
    </row>
    <row r="65" spans="1:13" outlineLevel="2">
      <c r="A65" s="363"/>
      <c r="B65" s="365"/>
      <c r="C65" s="151" t="str">
        <f t="shared" si="0"/>
        <v>Agencement et menuiseries</v>
      </c>
      <c r="D65" s="115"/>
      <c r="E65" s="424" t="s">
        <v>917</v>
      </c>
      <c r="F65" s="177">
        <v>1.0999999999999999E-2</v>
      </c>
      <c r="G65" s="174">
        <v>1.2E-2</v>
      </c>
      <c r="H65" s="174">
        <v>1.2E-2</v>
      </c>
      <c r="I65" s="174"/>
      <c r="J65" s="174">
        <v>1.2E-2</v>
      </c>
      <c r="K65" s="174"/>
      <c r="L65" s="420">
        <v>1.2E-2</v>
      </c>
      <c r="M65" s="115"/>
    </row>
    <row r="66" spans="1:13" outlineLevel="2">
      <c r="A66" s="363"/>
      <c r="B66" s="365"/>
      <c r="C66" s="151"/>
      <c r="D66" s="115"/>
      <c r="E66" s="424" t="s">
        <v>918</v>
      </c>
      <c r="F66" s="177">
        <v>0.04</v>
      </c>
      <c r="G66" s="174">
        <v>4.2000000000000003E-2</v>
      </c>
      <c r="H66" s="174">
        <v>4.2000000000000003E-2</v>
      </c>
      <c r="I66" s="174"/>
      <c r="J66" s="174">
        <v>4.1499999999999988E-2</v>
      </c>
      <c r="K66" s="174"/>
      <c r="L66" s="420">
        <v>4.1000000000000002E-2</v>
      </c>
      <c r="M66" s="115"/>
    </row>
    <row r="67" spans="1:13" ht="15" outlineLevel="2" thickBot="1">
      <c r="A67" s="363"/>
      <c r="B67" s="365"/>
      <c r="C67" s="151"/>
      <c r="D67" s="115"/>
      <c r="E67" s="425" t="s">
        <v>919</v>
      </c>
      <c r="F67" s="421">
        <v>7.0000000000000001E-3</v>
      </c>
      <c r="G67" s="422">
        <v>8.0000000000000002E-3</v>
      </c>
      <c r="H67" s="422">
        <v>8.0000000000000002E-3</v>
      </c>
      <c r="I67" s="422"/>
      <c r="J67" s="422">
        <v>8.9207217058501868E-3</v>
      </c>
      <c r="K67" s="422"/>
      <c r="L67" s="423">
        <v>0.01</v>
      </c>
      <c r="M67" s="115"/>
    </row>
    <row r="68" spans="1:13" outlineLevel="2">
      <c r="A68" s="363"/>
      <c r="B68" s="365"/>
      <c r="C68" s="151"/>
      <c r="D68" s="115"/>
      <c r="E68" s="265" t="s">
        <v>1008</v>
      </c>
      <c r="F68" s="177">
        <v>0.115</v>
      </c>
      <c r="G68" s="174">
        <v>0.11799999999999999</v>
      </c>
      <c r="H68" s="174">
        <v>0.121</v>
      </c>
      <c r="I68" s="174"/>
      <c r="J68" s="174">
        <v>0.121</v>
      </c>
      <c r="K68" s="174"/>
      <c r="L68" s="420">
        <v>0.121</v>
      </c>
      <c r="M68" s="115"/>
    </row>
    <row r="69" spans="1:13" outlineLevel="2">
      <c r="A69" s="363"/>
      <c r="B69" s="365"/>
      <c r="C69" s="151"/>
      <c r="D69" s="115"/>
      <c r="E69" s="424" t="s">
        <v>920</v>
      </c>
      <c r="F69" s="177">
        <v>0.1</v>
      </c>
      <c r="G69" s="174">
        <v>0.10199999999999999</v>
      </c>
      <c r="H69" s="174">
        <v>0.105</v>
      </c>
      <c r="I69" s="174"/>
      <c r="J69" s="174">
        <v>0.105</v>
      </c>
      <c r="K69" s="174"/>
      <c r="L69" s="420">
        <v>0.105</v>
      </c>
      <c r="M69" s="115"/>
    </row>
    <row r="70" spans="1:13" ht="15" outlineLevel="2" thickBot="1">
      <c r="A70" s="363"/>
      <c r="B70" s="365"/>
      <c r="C70" s="151"/>
      <c r="D70" s="115"/>
      <c r="E70" s="425" t="s">
        <v>921</v>
      </c>
      <c r="F70" s="421">
        <v>1.4999999999999999E-2</v>
      </c>
      <c r="G70" s="422">
        <v>1.6E-2</v>
      </c>
      <c r="H70" s="422">
        <v>1.6E-2</v>
      </c>
      <c r="I70" s="422"/>
      <c r="J70" s="422">
        <v>1.6E-2</v>
      </c>
      <c r="K70" s="422"/>
      <c r="L70" s="423">
        <v>1.6E-2</v>
      </c>
      <c r="M70" s="115"/>
    </row>
    <row r="71" spans="1:13" ht="15" outlineLevel="2" thickBot="1">
      <c r="A71" s="363"/>
      <c r="B71" s="365"/>
      <c r="C71" s="151"/>
      <c r="D71" s="115"/>
      <c r="E71" s="427" t="s">
        <v>925</v>
      </c>
      <c r="F71" s="421">
        <v>7.0999999999999994E-2</v>
      </c>
      <c r="G71" s="422">
        <v>7.1999999999999995E-2</v>
      </c>
      <c r="H71" s="422">
        <v>7.1999999999999995E-2</v>
      </c>
      <c r="I71" s="422"/>
      <c r="J71" s="422">
        <v>7.1999999999999995E-2</v>
      </c>
      <c r="K71" s="422"/>
      <c r="L71" s="423">
        <v>7.1999999999999995E-2</v>
      </c>
      <c r="M71" s="115"/>
    </row>
    <row r="72" spans="1:13" ht="15" outlineLevel="2" thickBot="1">
      <c r="A72" s="363"/>
      <c r="B72" s="365"/>
      <c r="C72" s="151" t="str">
        <f t="shared" si="0"/>
        <v>Energie</v>
      </c>
      <c r="D72" s="115"/>
      <c r="E72" s="427" t="s">
        <v>306</v>
      </c>
      <c r="F72" s="421">
        <v>0.63600000000000001</v>
      </c>
      <c r="G72" s="422">
        <v>0.61599999999999999</v>
      </c>
      <c r="H72" s="422">
        <v>0.61199999999999999</v>
      </c>
      <c r="I72" s="422"/>
      <c r="J72" s="422">
        <v>0.60921241115363545</v>
      </c>
      <c r="K72" s="422"/>
      <c r="L72" s="423">
        <v>0.60599999999999998</v>
      </c>
      <c r="M72" s="115"/>
    </row>
    <row r="73" spans="1:13" outlineLevel="2">
      <c r="A73" s="363"/>
      <c r="B73" s="365"/>
      <c r="C73" s="151" t="str">
        <f t="shared" si="0"/>
        <v>Périmètre hexagone</v>
      </c>
      <c r="D73" s="115"/>
      <c r="E73" s="616" t="s">
        <v>970</v>
      </c>
      <c r="F73" s="616"/>
      <c r="G73" s="616"/>
      <c r="H73" s="616"/>
      <c r="I73" s="616"/>
      <c r="J73" s="616"/>
      <c r="K73" s="616"/>
      <c r="L73" s="616"/>
      <c r="M73" s="115"/>
    </row>
    <row r="74" spans="1:13" outlineLevel="1">
      <c r="A74" s="363"/>
      <c r="B74" s="365"/>
      <c r="C74" s="151"/>
      <c r="D74" s="115"/>
      <c r="E74" s="549"/>
      <c r="F74" s="549"/>
      <c r="G74" s="549"/>
      <c r="H74" s="549"/>
      <c r="I74" s="549"/>
      <c r="J74" s="549"/>
      <c r="K74" s="549"/>
      <c r="L74" s="549"/>
      <c r="M74" s="115"/>
    </row>
    <row r="75" spans="1:13" ht="15" outlineLevel="1" thickBot="1">
      <c r="A75" s="363"/>
      <c r="B75" s="365"/>
      <c r="C75" s="151" t="str">
        <f t="shared" si="0"/>
        <v>Hypothèses de demi-vie des produits bois (années)</v>
      </c>
      <c r="D75" s="115"/>
      <c r="E75" s="627" t="s">
        <v>927</v>
      </c>
      <c r="F75" s="627"/>
      <c r="G75" s="627"/>
      <c r="H75" s="627"/>
      <c r="I75" s="627"/>
      <c r="J75" s="627"/>
      <c r="K75" s="627"/>
      <c r="L75" s="627"/>
      <c r="M75" s="115"/>
    </row>
    <row r="76" spans="1:13" outlineLevel="2">
      <c r="A76" s="363"/>
      <c r="B76" s="365"/>
      <c r="C76" s="151"/>
      <c r="D76" s="115"/>
      <c r="E76" s="459" t="s">
        <v>996</v>
      </c>
      <c r="F76" s="434">
        <v>2021</v>
      </c>
      <c r="G76" s="323">
        <v>2025</v>
      </c>
      <c r="H76" s="323">
        <v>2030</v>
      </c>
      <c r="I76" s="323">
        <v>2035</v>
      </c>
      <c r="J76" s="323">
        <v>2040</v>
      </c>
      <c r="K76" s="323">
        <v>2045</v>
      </c>
      <c r="L76" s="324">
        <v>2050</v>
      </c>
      <c r="M76" s="115"/>
    </row>
    <row r="77" spans="1:13" outlineLevel="2">
      <c r="A77" s="363"/>
      <c r="B77" s="365"/>
      <c r="C77" s="151"/>
      <c r="D77" s="481"/>
      <c r="E77" s="218" t="s">
        <v>922</v>
      </c>
      <c r="F77" s="428"/>
      <c r="G77" s="282"/>
      <c r="H77" s="282"/>
      <c r="I77" s="282"/>
      <c r="J77" s="282"/>
      <c r="K77" s="282"/>
      <c r="L77" s="467"/>
      <c r="M77" s="485"/>
    </row>
    <row r="78" spans="1:13" outlineLevel="2">
      <c r="A78" s="363"/>
      <c r="B78" s="365"/>
      <c r="C78" s="151"/>
      <c r="D78" s="115"/>
      <c r="E78" s="490" t="s">
        <v>915</v>
      </c>
      <c r="F78" s="428">
        <v>3</v>
      </c>
      <c r="G78" s="282">
        <f>F78+0.06</f>
        <v>3.06</v>
      </c>
      <c r="H78" s="282">
        <f>F78+0.12</f>
        <v>3.12</v>
      </c>
      <c r="I78" s="282"/>
      <c r="J78" s="282">
        <f>F78+0.18</f>
        <v>3.18</v>
      </c>
      <c r="K78" s="282"/>
      <c r="L78" s="467">
        <f>F78+0.24</f>
        <v>3.24</v>
      </c>
      <c r="M78" s="115"/>
    </row>
    <row r="79" spans="1:13" outlineLevel="2">
      <c r="A79" s="363"/>
      <c r="B79" s="365"/>
      <c r="C79" s="151"/>
      <c r="D79" s="115"/>
      <c r="E79" s="490" t="s">
        <v>916</v>
      </c>
      <c r="F79" s="428">
        <v>10</v>
      </c>
      <c r="G79" s="282">
        <f>F79+0.2</f>
        <v>10.199999999999999</v>
      </c>
      <c r="H79" s="282">
        <f>F79+0.4</f>
        <v>10.4</v>
      </c>
      <c r="I79" s="282"/>
      <c r="J79" s="282">
        <f>F79+0.6</f>
        <v>10.6</v>
      </c>
      <c r="K79" s="282"/>
      <c r="L79" s="467">
        <f>F79+0.8</f>
        <v>10.8</v>
      </c>
      <c r="M79" s="115"/>
    </row>
    <row r="80" spans="1:13" outlineLevel="2">
      <c r="A80" s="363"/>
      <c r="B80" s="365"/>
      <c r="C80" s="151"/>
      <c r="D80" s="115"/>
      <c r="E80" s="490" t="s">
        <v>917</v>
      </c>
      <c r="F80" s="428">
        <v>15</v>
      </c>
      <c r="G80" s="282">
        <f>F80+0.3</f>
        <v>15.3</v>
      </c>
      <c r="H80" s="282">
        <f>F80+0.6</f>
        <v>15.6</v>
      </c>
      <c r="I80" s="282"/>
      <c r="J80" s="282">
        <f>F80+0.9</f>
        <v>15.9</v>
      </c>
      <c r="K80" s="282"/>
      <c r="L80" s="467">
        <f>F80+1.2</f>
        <v>16.2</v>
      </c>
      <c r="M80" s="115"/>
    </row>
    <row r="81" spans="1:13" outlineLevel="2">
      <c r="A81" s="363"/>
      <c r="B81" s="365"/>
      <c r="C81" s="151"/>
      <c r="D81" s="115"/>
      <c r="E81" s="490" t="s">
        <v>918</v>
      </c>
      <c r="F81" s="428">
        <v>50</v>
      </c>
      <c r="G81" s="282">
        <f>F81+1</f>
        <v>51</v>
      </c>
      <c r="H81" s="282">
        <f>F81+2</f>
        <v>52</v>
      </c>
      <c r="I81" s="282"/>
      <c r="J81" s="282">
        <f>F81+3</f>
        <v>53</v>
      </c>
      <c r="K81" s="282"/>
      <c r="L81" s="467">
        <f>F81+4</f>
        <v>54</v>
      </c>
      <c r="M81" s="115"/>
    </row>
    <row r="82" spans="1:13" ht="15" outlineLevel="2" thickBot="1">
      <c r="A82" s="363"/>
      <c r="B82" s="365"/>
      <c r="C82" s="151"/>
      <c r="D82" s="115"/>
      <c r="E82" s="491" t="s">
        <v>919</v>
      </c>
      <c r="F82" s="492">
        <v>30</v>
      </c>
      <c r="G82" s="470">
        <f>F82+0.6</f>
        <v>30.6</v>
      </c>
      <c r="H82" s="470">
        <f>F82+1.2</f>
        <v>31.2</v>
      </c>
      <c r="I82" s="470"/>
      <c r="J82" s="470">
        <f>F82+1.8</f>
        <v>31.8</v>
      </c>
      <c r="K82" s="470"/>
      <c r="L82" s="471">
        <f>F82+2.4</f>
        <v>32.4</v>
      </c>
      <c r="M82" s="115"/>
    </row>
    <row r="83" spans="1:13" outlineLevel="2">
      <c r="A83" s="363"/>
      <c r="B83" s="365"/>
      <c r="C83" s="151"/>
      <c r="D83" s="115"/>
      <c r="E83" s="486" t="s">
        <v>923</v>
      </c>
      <c r="F83" s="487">
        <v>25</v>
      </c>
      <c r="G83" s="488">
        <f>F83+0.5</f>
        <v>25.5</v>
      </c>
      <c r="H83" s="488">
        <f>F83+1</f>
        <v>26</v>
      </c>
      <c r="I83" s="488"/>
      <c r="J83" s="488">
        <f>F83+1.5</f>
        <v>26.5</v>
      </c>
      <c r="K83" s="488"/>
      <c r="L83" s="489">
        <f>F83+2</f>
        <v>27</v>
      </c>
      <c r="M83" s="115"/>
    </row>
    <row r="84" spans="1:13" outlineLevel="2">
      <c r="A84" s="363"/>
      <c r="B84" s="365"/>
      <c r="C84" s="151"/>
      <c r="D84" s="115"/>
      <c r="E84" s="426" t="s">
        <v>924</v>
      </c>
      <c r="F84" s="428">
        <v>30</v>
      </c>
      <c r="G84" s="282">
        <f>F84+0.5</f>
        <v>30.5</v>
      </c>
      <c r="H84" s="282">
        <f>F84+1</f>
        <v>31</v>
      </c>
      <c r="I84" s="282"/>
      <c r="J84" s="488">
        <f>F84+1.5</f>
        <v>31.5</v>
      </c>
      <c r="K84" s="282"/>
      <c r="L84" s="431">
        <f>F84+2</f>
        <v>32</v>
      </c>
      <c r="M84" s="115"/>
    </row>
    <row r="85" spans="1:13" ht="15" outlineLevel="2" thickBot="1">
      <c r="A85" s="363"/>
      <c r="B85" s="365"/>
      <c r="C85" s="151"/>
      <c r="D85" s="115"/>
      <c r="E85" s="427" t="s">
        <v>925</v>
      </c>
      <c r="F85" s="429">
        <v>7</v>
      </c>
      <c r="G85" s="432">
        <v>7</v>
      </c>
      <c r="H85" s="432">
        <f>G85</f>
        <v>7</v>
      </c>
      <c r="I85" s="432"/>
      <c r="J85" s="432">
        <f>F85</f>
        <v>7</v>
      </c>
      <c r="K85" s="432"/>
      <c r="L85" s="433">
        <v>7</v>
      </c>
      <c r="M85" s="115"/>
    </row>
    <row r="86" spans="1:13" ht="15" outlineLevel="2" thickBot="1">
      <c r="A86" s="363"/>
      <c r="B86" s="365"/>
      <c r="C86" s="151"/>
      <c r="D86" s="115"/>
      <c r="E86" s="427" t="s">
        <v>926</v>
      </c>
      <c r="F86" s="429">
        <v>10</v>
      </c>
      <c r="G86" s="432">
        <f>F86</f>
        <v>10</v>
      </c>
      <c r="H86" s="432">
        <f>G86</f>
        <v>10</v>
      </c>
      <c r="I86" s="432"/>
      <c r="J86" s="432">
        <f>F86</f>
        <v>10</v>
      </c>
      <c r="K86" s="432"/>
      <c r="L86" s="433">
        <f>F86</f>
        <v>10</v>
      </c>
      <c r="M86" s="115"/>
    </row>
    <row r="87" spans="1:13" outlineLevel="2">
      <c r="A87" s="363"/>
      <c r="B87" s="365"/>
      <c r="C87" s="151"/>
      <c r="D87" s="115"/>
      <c r="E87" s="616" t="s">
        <v>970</v>
      </c>
      <c r="F87" s="616"/>
      <c r="G87" s="616"/>
      <c r="H87" s="616"/>
      <c r="I87" s="616"/>
      <c r="J87" s="616"/>
      <c r="K87" s="616"/>
      <c r="L87" s="616"/>
      <c r="M87" s="115"/>
    </row>
    <row r="88" spans="1:13" outlineLevel="1">
      <c r="A88" s="363"/>
      <c r="B88" s="365"/>
      <c r="C88" s="151"/>
      <c r="D88" s="115"/>
      <c r="E88" s="402"/>
      <c r="F88" s="402"/>
      <c r="G88" s="402"/>
      <c r="H88" s="402"/>
      <c r="I88" s="402"/>
      <c r="J88" s="402"/>
      <c r="K88" s="402"/>
      <c r="L88" s="402"/>
      <c r="M88" s="115"/>
    </row>
    <row r="89" spans="1:13" ht="15" outlineLevel="1" thickBot="1">
      <c r="A89" s="363"/>
      <c r="B89" s="365"/>
      <c r="C89" s="151"/>
      <c r="D89" s="115"/>
      <c r="E89" s="627" t="s">
        <v>928</v>
      </c>
      <c r="F89" s="627"/>
      <c r="G89" s="627"/>
      <c r="H89" s="627"/>
      <c r="I89" s="627"/>
      <c r="J89" s="627"/>
      <c r="K89" s="627"/>
      <c r="L89" s="627"/>
      <c r="M89" s="115"/>
    </row>
    <row r="90" spans="1:13" ht="15.6" customHeight="1" outlineLevel="2">
      <c r="A90" s="363"/>
      <c r="B90" s="365"/>
      <c r="C90" s="151"/>
      <c r="D90" s="115"/>
      <c r="E90" s="459" t="s">
        <v>121</v>
      </c>
      <c r="F90" s="323">
        <v>2020</v>
      </c>
      <c r="G90" s="323">
        <v>2025</v>
      </c>
      <c r="H90" s="323">
        <v>2030</v>
      </c>
      <c r="I90" s="323">
        <v>2035</v>
      </c>
      <c r="J90" s="323">
        <v>2040</v>
      </c>
      <c r="K90" s="323">
        <v>2045</v>
      </c>
      <c r="L90" s="324">
        <v>2050</v>
      </c>
      <c r="M90" s="115"/>
    </row>
    <row r="91" spans="1:13" outlineLevel="2">
      <c r="A91" s="363"/>
      <c r="B91" s="365"/>
      <c r="C91" s="151"/>
      <c r="D91" s="115"/>
      <c r="E91" s="218" t="s">
        <v>929</v>
      </c>
      <c r="F91" s="180">
        <v>0.4</v>
      </c>
      <c r="G91" s="181">
        <v>0.45</v>
      </c>
      <c r="H91" s="181">
        <v>0.5</v>
      </c>
      <c r="I91" s="181"/>
      <c r="J91" s="181">
        <v>0.57499999999999951</v>
      </c>
      <c r="K91" s="181"/>
      <c r="L91" s="409">
        <v>0.65</v>
      </c>
      <c r="M91" s="115"/>
    </row>
    <row r="92" spans="1:13" outlineLevel="2">
      <c r="A92" s="363"/>
      <c r="B92" s="365"/>
      <c r="C92" s="151"/>
      <c r="D92" s="115"/>
      <c r="E92" s="218" t="s">
        <v>306</v>
      </c>
      <c r="F92" s="180">
        <v>0.47</v>
      </c>
      <c r="G92" s="181">
        <v>0.44</v>
      </c>
      <c r="H92" s="181">
        <v>0.45</v>
      </c>
      <c r="I92" s="181"/>
      <c r="J92" s="181">
        <f>AVERAGE(H92,L92)</f>
        <v>0.375</v>
      </c>
      <c r="K92" s="181"/>
      <c r="L92" s="409">
        <v>0.3</v>
      </c>
      <c r="M92" s="115"/>
    </row>
    <row r="93" spans="1:13" ht="15" outlineLevel="2" thickBot="1">
      <c r="A93" s="363"/>
      <c r="B93" s="365"/>
      <c r="C93" s="151"/>
      <c r="D93" s="115"/>
      <c r="E93" s="222" t="s">
        <v>930</v>
      </c>
      <c r="F93" s="333">
        <v>0.13</v>
      </c>
      <c r="G93" s="334">
        <v>0.11</v>
      </c>
      <c r="H93" s="334">
        <v>0.05</v>
      </c>
      <c r="I93" s="334"/>
      <c r="J93" s="493">
        <f>AVERAGE(H93,L93)</f>
        <v>0.05</v>
      </c>
      <c r="K93" s="334"/>
      <c r="L93" s="335">
        <v>0.05</v>
      </c>
      <c r="M93" s="115"/>
    </row>
    <row r="94" spans="1:13" outlineLevel="2">
      <c r="A94" s="363"/>
      <c r="B94" s="365"/>
      <c r="C94" s="151"/>
      <c r="D94" s="115"/>
      <c r="E94" s="616" t="s">
        <v>970</v>
      </c>
      <c r="F94" s="616"/>
      <c r="G94" s="616"/>
      <c r="H94" s="616"/>
      <c r="I94" s="616"/>
      <c r="J94" s="616"/>
      <c r="K94" s="616"/>
      <c r="L94" s="616"/>
      <c r="M94" s="115"/>
    </row>
    <row r="95" spans="1:13" outlineLevel="1">
      <c r="A95" s="363"/>
      <c r="B95" s="365"/>
      <c r="C95" s="151"/>
      <c r="D95" s="115"/>
      <c r="E95" s="402"/>
      <c r="F95" s="402"/>
      <c r="G95" s="402"/>
      <c r="H95" s="402"/>
      <c r="I95" s="402"/>
      <c r="J95" s="402"/>
      <c r="K95" s="402"/>
      <c r="L95" s="402"/>
      <c r="M95" s="115"/>
    </row>
    <row r="96" spans="1:13" ht="28.8" thickBot="1">
      <c r="A96" s="363"/>
      <c r="B96" s="365"/>
      <c r="C96" s="151" t="str">
        <f t="shared" si="0"/>
        <v>Autres utilisations des terres</v>
      </c>
      <c r="D96" s="369"/>
      <c r="E96" s="370"/>
      <c r="F96" s="617" t="s">
        <v>933</v>
      </c>
      <c r="G96" s="617"/>
      <c r="H96" s="617"/>
      <c r="I96" s="617"/>
      <c r="J96" s="617"/>
      <c r="K96" s="617"/>
      <c r="L96" s="617"/>
      <c r="M96" s="617"/>
    </row>
    <row r="97" spans="1:13" ht="15" thickTop="1">
      <c r="A97" s="363"/>
      <c r="B97" s="365"/>
      <c r="C97" s="151" t="str">
        <f t="shared" si="0"/>
        <v/>
      </c>
      <c r="D97" s="401"/>
      <c r="E97" s="401"/>
      <c r="F97" s="401"/>
    </row>
    <row r="98" spans="1:13" ht="11.4" customHeight="1" outlineLevel="1">
      <c r="A98" s="363"/>
      <c r="B98" s="365"/>
      <c r="C98" s="151" t="str">
        <f t="shared" si="0"/>
        <v/>
      </c>
      <c r="D98" s="115"/>
      <c r="E98" s="611"/>
      <c r="F98" s="612"/>
      <c r="G98" s="612"/>
      <c r="H98" s="612"/>
      <c r="I98" s="612"/>
      <c r="J98" s="612"/>
      <c r="K98" s="612"/>
      <c r="L98" s="612"/>
      <c r="M98" s="115"/>
    </row>
    <row r="99" spans="1:13" ht="15" customHeight="1" outlineLevel="1">
      <c r="A99" s="363"/>
      <c r="B99" s="365"/>
      <c r="C99" s="151" t="str">
        <f t="shared" si="0"/>
        <v/>
      </c>
      <c r="D99" s="115"/>
      <c r="E99" s="650"/>
      <c r="F99" s="651"/>
      <c r="G99" s="651"/>
      <c r="H99" s="651"/>
      <c r="I99" s="651"/>
      <c r="J99" s="651"/>
      <c r="K99" s="651"/>
      <c r="L99" s="651"/>
      <c r="M99" s="115"/>
    </row>
    <row r="100" spans="1:13" ht="15" outlineLevel="1" thickBot="1">
      <c r="A100" s="363"/>
      <c r="B100" s="365"/>
      <c r="C100" s="151" t="str">
        <f t="shared" si="0"/>
        <v>Evolution des surfaces hors forêt (kha)</v>
      </c>
      <c r="D100" s="115"/>
      <c r="E100" s="627" t="s">
        <v>1010</v>
      </c>
      <c r="F100" s="627"/>
      <c r="G100" s="627"/>
      <c r="H100" s="627"/>
      <c r="I100" s="627"/>
      <c r="J100" s="627"/>
      <c r="K100" s="627"/>
      <c r="L100" s="627"/>
      <c r="M100" s="115"/>
    </row>
    <row r="101" spans="1:13" outlineLevel="2">
      <c r="A101" s="363"/>
      <c r="B101" s="365"/>
      <c r="C101" s="151" t="str">
        <f t="shared" si="0"/>
        <v>kha</v>
      </c>
      <c r="D101" s="115"/>
      <c r="E101" s="322" t="s">
        <v>408</v>
      </c>
      <c r="F101" s="494">
        <v>2020</v>
      </c>
      <c r="G101" s="494">
        <v>2025</v>
      </c>
      <c r="H101" s="494">
        <v>2030</v>
      </c>
      <c r="I101" s="494">
        <v>2035</v>
      </c>
      <c r="J101" s="494">
        <v>2040</v>
      </c>
      <c r="K101" s="494">
        <v>2045</v>
      </c>
      <c r="L101" s="495">
        <v>2050</v>
      </c>
      <c r="M101" s="115"/>
    </row>
    <row r="102" spans="1:13" outlineLevel="2">
      <c r="A102" s="363"/>
      <c r="B102" s="365"/>
      <c r="C102" s="151" t="str">
        <f t="shared" si="0"/>
        <v>Prairies totales</v>
      </c>
      <c r="D102" s="115"/>
      <c r="E102" s="218" t="s">
        <v>934</v>
      </c>
      <c r="F102" s="483">
        <v>8197</v>
      </c>
      <c r="G102" s="484"/>
      <c r="H102" s="484">
        <v>7679</v>
      </c>
      <c r="I102" s="484"/>
      <c r="J102" s="484"/>
      <c r="K102" s="484"/>
      <c r="L102" s="496">
        <v>6857</v>
      </c>
      <c r="M102" s="115"/>
    </row>
    <row r="103" spans="1:13" outlineLevel="2">
      <c r="A103" s="363"/>
      <c r="B103" s="365"/>
      <c r="C103" s="151" t="str">
        <f t="shared" ref="A103:C133" si="1">IF(ISBLANK(E103),IF(ISBLANK(F103),"",F103),E103)</f>
        <v>Cultures annuelles</v>
      </c>
      <c r="D103" s="115"/>
      <c r="E103" s="218" t="s">
        <v>935</v>
      </c>
      <c r="F103" s="336">
        <v>21696</v>
      </c>
      <c r="G103" s="337"/>
      <c r="H103" s="337">
        <v>21776</v>
      </c>
      <c r="I103" s="337"/>
      <c r="J103" s="337"/>
      <c r="K103" s="337"/>
      <c r="L103" s="338">
        <v>22157</v>
      </c>
      <c r="M103" s="115"/>
    </row>
    <row r="104" spans="1:13" outlineLevel="2">
      <c r="A104" s="363"/>
      <c r="B104" s="365"/>
      <c r="C104" s="151"/>
      <c r="D104" s="115"/>
      <c r="E104" s="218" t="s">
        <v>937</v>
      </c>
      <c r="F104" s="336">
        <v>179</v>
      </c>
      <c r="G104" s="337"/>
      <c r="H104" s="337">
        <v>167</v>
      </c>
      <c r="I104" s="337"/>
      <c r="J104" s="337"/>
      <c r="K104" s="337"/>
      <c r="L104" s="338">
        <v>165</v>
      </c>
      <c r="M104" s="115"/>
    </row>
    <row r="105" spans="1:13" outlineLevel="2">
      <c r="A105" s="363"/>
      <c r="B105" s="365"/>
      <c r="C105" s="151"/>
      <c r="D105" s="115"/>
      <c r="E105" s="218" t="s">
        <v>936</v>
      </c>
      <c r="F105" s="336">
        <v>572</v>
      </c>
      <c r="G105" s="337"/>
      <c r="H105" s="337">
        <v>512</v>
      </c>
      <c r="I105" s="337"/>
      <c r="J105" s="337"/>
      <c r="K105" s="337"/>
      <c r="L105" s="338">
        <v>505</v>
      </c>
      <c r="M105" s="115"/>
    </row>
    <row r="106" spans="1:13" ht="15" outlineLevel="2" thickBot="1">
      <c r="A106" s="363"/>
      <c r="B106" s="365"/>
      <c r="C106" s="151" t="str">
        <f>IF(ISBLANK(E105),IF(ISBLANK(F105),"",F105),E105)</f>
        <v>Vignes</v>
      </c>
      <c r="D106" s="115"/>
      <c r="E106" s="222" t="s">
        <v>28</v>
      </c>
      <c r="F106" s="497">
        <v>4776.3209499999903</v>
      </c>
      <c r="G106" s="498"/>
      <c r="H106" s="498">
        <v>4967.373787999989</v>
      </c>
      <c r="I106" s="498"/>
      <c r="J106" s="498"/>
      <c r="K106" s="498"/>
      <c r="L106" s="499">
        <v>5182.3082307499799</v>
      </c>
      <c r="M106" s="115"/>
    </row>
    <row r="107" spans="1:13" ht="30.6" customHeight="1" outlineLevel="2">
      <c r="A107" s="363"/>
      <c r="B107" s="365"/>
      <c r="C107" s="151" t="str">
        <f t="shared" si="1"/>
        <v>Périmètre hexagone. Les surfaces indiquées ici peuvent ne pas correspondre aux surfaces indiquées dans le secteur de l'agriculture car les surfaces indiquées ici relèvent de périmètres appliqués pour le secteur UTCATF qui peuvent être différents.</v>
      </c>
      <c r="D107" s="115"/>
      <c r="E107" s="646" t="s">
        <v>1071</v>
      </c>
      <c r="F107" s="646"/>
      <c r="G107" s="646"/>
      <c r="H107" s="646"/>
      <c r="I107" s="646"/>
      <c r="J107" s="646"/>
      <c r="K107" s="646"/>
      <c r="L107" s="646"/>
      <c r="M107" s="115"/>
    </row>
    <row r="108" spans="1:13" outlineLevel="1">
      <c r="A108" s="363"/>
      <c r="B108" s="365"/>
      <c r="C108" s="151" t="str">
        <f t="shared" si="1"/>
        <v/>
      </c>
      <c r="D108" s="115"/>
      <c r="E108" s="402"/>
      <c r="F108" s="402"/>
      <c r="G108" s="402"/>
      <c r="H108" s="402"/>
      <c r="I108" s="402"/>
      <c r="J108" s="402"/>
      <c r="K108" s="402"/>
      <c r="L108" s="402"/>
      <c r="M108" s="115"/>
    </row>
    <row r="109" spans="1:13">
      <c r="A109" s="363"/>
      <c r="B109" s="365"/>
      <c r="C109" s="151" t="str">
        <f t="shared" si="1"/>
        <v/>
      </c>
      <c r="D109" s="401"/>
      <c r="E109" s="401"/>
      <c r="F109" s="401"/>
    </row>
    <row r="110" spans="1:13">
      <c r="A110" s="400"/>
      <c r="C110" s="151" t="str">
        <f t="shared" si="1"/>
        <v/>
      </c>
      <c r="D110" s="629"/>
      <c r="E110" s="629"/>
      <c r="F110" s="629"/>
      <c r="G110" s="629"/>
      <c r="H110" s="401"/>
      <c r="I110" s="401"/>
      <c r="J110" s="401"/>
    </row>
    <row r="111" spans="1:13" ht="28.8" thickBot="1">
      <c r="A111" s="366"/>
      <c r="C111" s="151" t="str">
        <f t="shared" si="1"/>
        <v>Résultats</v>
      </c>
      <c r="D111" s="371"/>
      <c r="E111" s="635" t="s">
        <v>137</v>
      </c>
      <c r="F111" s="635"/>
      <c r="G111" s="635"/>
      <c r="H111" s="635"/>
      <c r="I111" s="635"/>
      <c r="J111" s="635"/>
      <c r="K111" s="635"/>
      <c r="L111" s="635"/>
      <c r="M111" s="371"/>
    </row>
    <row r="112" spans="1:13" ht="15" thickTop="1">
      <c r="A112" s="366"/>
      <c r="C112" s="151" t="str">
        <f t="shared" si="1"/>
        <v/>
      </c>
      <c r="D112" s="3"/>
      <c r="E112" s="3"/>
      <c r="F112" s="3"/>
      <c r="G112" s="3"/>
      <c r="H112" s="3"/>
      <c r="I112" s="3"/>
      <c r="J112" s="3"/>
      <c r="K112" s="3"/>
      <c r="L112" s="3"/>
      <c r="M112" s="3"/>
    </row>
    <row r="113" spans="1:13" ht="15.6">
      <c r="A113" s="366"/>
      <c r="C113" s="151" t="str">
        <f t="shared" si="1"/>
        <v/>
      </c>
      <c r="D113" s="112"/>
      <c r="E113" s="113"/>
      <c r="F113" s="113"/>
      <c r="G113" s="113"/>
      <c r="H113" s="113"/>
      <c r="I113" s="113"/>
      <c r="J113" s="113"/>
      <c r="K113" s="113"/>
      <c r="L113" s="113"/>
      <c r="M113" s="3"/>
    </row>
    <row r="114" spans="1:13" ht="28.8" thickBot="1">
      <c r="A114" s="366"/>
      <c r="B114" s="367"/>
      <c r="C114" s="151" t="str">
        <f t="shared" si="1"/>
        <v>Emissions de gaz à effet de serre</v>
      </c>
      <c r="D114" s="371"/>
      <c r="E114" s="372"/>
      <c r="F114" s="635" t="s">
        <v>142</v>
      </c>
      <c r="G114" s="635"/>
      <c r="H114" s="635"/>
      <c r="I114" s="635"/>
      <c r="J114" s="635"/>
      <c r="K114" s="635"/>
      <c r="L114" s="635"/>
      <c r="M114" s="635"/>
    </row>
    <row r="115" spans="1:13" ht="15" thickTop="1">
      <c r="A115" s="366"/>
      <c r="B115" s="367"/>
      <c r="C115" s="151" t="str">
        <f t="shared" si="1"/>
        <v/>
      </c>
    </row>
    <row r="116" spans="1:13" outlineLevel="1">
      <c r="A116" s="127"/>
      <c r="C116" s="151" t="str">
        <f t="shared" si="1"/>
        <v/>
      </c>
      <c r="D116" s="115"/>
      <c r="E116" s="115"/>
      <c r="F116" s="115"/>
      <c r="G116" s="115"/>
      <c r="H116" s="115"/>
      <c r="I116" s="115"/>
      <c r="J116" s="115"/>
      <c r="K116" s="115"/>
      <c r="L116" s="115"/>
      <c r="M116" s="115"/>
    </row>
    <row r="117" spans="1:13" outlineLevel="1">
      <c r="A117" s="127"/>
      <c r="C117" s="151" t="str">
        <f t="shared" si="1"/>
        <v/>
      </c>
      <c r="D117" s="115"/>
      <c r="E117" s="115"/>
      <c r="F117" s="115"/>
      <c r="G117" s="115"/>
      <c r="H117" s="115"/>
      <c r="I117" s="115"/>
      <c r="J117" s="115"/>
      <c r="K117" s="115"/>
      <c r="L117" s="115"/>
      <c r="M117" s="115"/>
    </row>
    <row r="118" spans="1:13" ht="15" outlineLevel="1" thickBot="1">
      <c r="A118" s="127"/>
      <c r="C118" s="151" t="str">
        <f t="shared" si="1"/>
        <v>Emissions du secteur des UTCATF (MtCO2e)</v>
      </c>
      <c r="D118" s="115"/>
      <c r="E118" s="627" t="s">
        <v>938</v>
      </c>
      <c r="F118" s="627"/>
      <c r="G118" s="627"/>
      <c r="H118" s="627"/>
      <c r="I118" s="627"/>
      <c r="J118" s="627"/>
      <c r="K118" s="627"/>
      <c r="L118" s="627"/>
      <c r="M118" s="115"/>
    </row>
    <row r="119" spans="1:13" outlineLevel="5">
      <c r="A119" s="127"/>
      <c r="C119" s="151"/>
      <c r="D119" s="115"/>
      <c r="E119" s="348" t="s">
        <v>302</v>
      </c>
      <c r="F119" s="349">
        <v>2020</v>
      </c>
      <c r="G119" s="349">
        <v>2025</v>
      </c>
      <c r="H119" s="349">
        <v>2030</v>
      </c>
      <c r="I119" s="349">
        <v>2035</v>
      </c>
      <c r="J119" s="349">
        <v>2040</v>
      </c>
      <c r="K119" s="349">
        <v>2045</v>
      </c>
      <c r="L119" s="350">
        <v>2050</v>
      </c>
      <c r="M119" s="115"/>
    </row>
    <row r="120" spans="1:13" outlineLevel="5">
      <c r="A120" s="127"/>
      <c r="C120" s="151"/>
      <c r="D120" s="115"/>
      <c r="E120" s="351" t="s">
        <v>144</v>
      </c>
      <c r="F120" s="352">
        <f>SUM(F121:F128)</f>
        <v>-21.354158136859638</v>
      </c>
      <c r="G120" s="352">
        <f>SUM(G121:G128)</f>
        <v>-11.793116428867641</v>
      </c>
      <c r="H120" s="352">
        <f t="shared" ref="H120:L120" si="2">SUM(H121:H128)</f>
        <v>-6.4808924487126749</v>
      </c>
      <c r="I120" s="352">
        <f t="shared" si="2"/>
        <v>-6.9484563247446012</v>
      </c>
      <c r="J120" s="352">
        <f t="shared" si="2"/>
        <v>-5.2584350031999216</v>
      </c>
      <c r="K120" s="352">
        <f t="shared" si="2"/>
        <v>-4.3806012929564515</v>
      </c>
      <c r="L120" s="482">
        <f t="shared" si="2"/>
        <v>-3.5810964155487772</v>
      </c>
      <c r="M120" s="115"/>
    </row>
    <row r="121" spans="1:13" outlineLevel="5">
      <c r="A121" s="127"/>
      <c r="C121" s="151"/>
      <c r="D121" s="115"/>
      <c r="E121" s="353" t="s">
        <v>26</v>
      </c>
      <c r="F121" s="354">
        <f>GES!AF151</f>
        <v>-38.557266151472504</v>
      </c>
      <c r="G121" s="354">
        <f>GES!AJ151</f>
        <v>-32.004423278544465</v>
      </c>
      <c r="H121" s="354">
        <f>GES!AL151</f>
        <v>-27.100446681776379</v>
      </c>
      <c r="I121" s="354">
        <f>GES!AN151</f>
        <v>-28.579364930480146</v>
      </c>
      <c r="J121" s="354">
        <f>GES!AP151</f>
        <v>-26.934741116689747</v>
      </c>
      <c r="K121" s="354">
        <f>GES!AQ151</f>
        <v>-25.977960585602204</v>
      </c>
      <c r="L121" s="455">
        <f>GES!AR151</f>
        <v>-23.944893015141041</v>
      </c>
      <c r="M121" s="115"/>
    </row>
    <row r="122" spans="1:13" outlineLevel="5">
      <c r="A122" s="127"/>
      <c r="C122" s="151"/>
      <c r="D122" s="115"/>
      <c r="E122" s="353" t="s">
        <v>110</v>
      </c>
      <c r="F122" s="354">
        <f>GES!AF152</f>
        <v>9.9569505420371929</v>
      </c>
      <c r="G122" s="354">
        <f>GES!AJ152</f>
        <v>15.733894467897755</v>
      </c>
      <c r="H122" s="354">
        <f>GES!AL152</f>
        <v>16.412657182726253</v>
      </c>
      <c r="I122" s="354">
        <f>GES!AN152</f>
        <v>20.419462989838056</v>
      </c>
      <c r="J122" s="354">
        <f>GES!AP152</f>
        <v>21.097101657547345</v>
      </c>
      <c r="K122" s="354">
        <f>GES!AQ152</f>
        <v>21.272640825033626</v>
      </c>
      <c r="L122" s="455">
        <f>GES!AR152</f>
        <v>20.600289186469443</v>
      </c>
      <c r="M122" s="115"/>
    </row>
    <row r="123" spans="1:13" outlineLevel="5">
      <c r="A123" s="127"/>
      <c r="C123" s="151"/>
      <c r="D123" s="115"/>
      <c r="E123" s="355" t="s">
        <v>111</v>
      </c>
      <c r="F123" s="354">
        <f>GES!AF153</f>
        <v>-1.0304120888935584</v>
      </c>
      <c r="G123" s="354">
        <f>GES!AJ153</f>
        <v>-1.7167872067809278</v>
      </c>
      <c r="H123" s="354">
        <f>GES!AL153</f>
        <v>-2.486100988838631</v>
      </c>
      <c r="I123" s="354">
        <f>GES!AN153</f>
        <v>-4.1291903485412549</v>
      </c>
      <c r="J123" s="354">
        <f>GES!AP153</f>
        <v>-4.951949954999189</v>
      </c>
      <c r="K123" s="354">
        <f>GES!AQ153</f>
        <v>-4.7530323884126027</v>
      </c>
      <c r="L123" s="455">
        <f>GES!AR153</f>
        <v>-5.24480025048884</v>
      </c>
      <c r="M123" s="115"/>
    </row>
    <row r="124" spans="1:13" outlineLevel="5">
      <c r="A124" s="127"/>
      <c r="C124" s="151"/>
      <c r="D124" s="115"/>
      <c r="E124" s="355" t="s">
        <v>27</v>
      </c>
      <c r="F124" s="354">
        <f>GES!AF154</f>
        <v>1.4987737477272467</v>
      </c>
      <c r="G124" s="354">
        <f>GES!AJ154</f>
        <v>0.61678873008644641</v>
      </c>
      <c r="H124" s="354">
        <f>GES!AL154</f>
        <v>0.66820421667015739</v>
      </c>
      <c r="I124" s="354">
        <f>GES!AN154</f>
        <v>0.66116807193379135</v>
      </c>
      <c r="J124" s="354">
        <f>GES!AP154</f>
        <v>0.76796818258410215</v>
      </c>
      <c r="K124" s="354">
        <f>GES!AQ154</f>
        <v>0.77816917957459852</v>
      </c>
      <c r="L124" s="455">
        <f>GES!AR154</f>
        <v>0.73281956429310802</v>
      </c>
      <c r="M124" s="115"/>
    </row>
    <row r="125" spans="1:13" outlineLevel="5">
      <c r="A125" s="127"/>
      <c r="C125" s="151"/>
      <c r="D125" s="115"/>
      <c r="E125" s="355" t="s">
        <v>28</v>
      </c>
      <c r="F125" s="354">
        <f>GES!AF155</f>
        <v>5.6772792113559678</v>
      </c>
      <c r="G125" s="354">
        <f>GES!AJ155</f>
        <v>5.7676818610689189</v>
      </c>
      <c r="H125" s="354">
        <f>GES!AL155</f>
        <v>5.4891430681019404</v>
      </c>
      <c r="I125" s="354">
        <f>GES!AN155</f>
        <v>4.303375411073759</v>
      </c>
      <c r="J125" s="354">
        <f>GES!AP155</f>
        <v>4.4833386261889867</v>
      </c>
      <c r="K125" s="354">
        <f>GES!AQ155</f>
        <v>4.1331261704502689</v>
      </c>
      <c r="L125" s="455">
        <f>GES!AR155</f>
        <v>4.1620381690975652</v>
      </c>
      <c r="M125" s="115"/>
    </row>
    <row r="126" spans="1:13" outlineLevel="5">
      <c r="A126" s="127"/>
      <c r="C126" s="151"/>
      <c r="D126" s="115"/>
      <c r="E126" s="355" t="s">
        <v>112</v>
      </c>
      <c r="F126" s="354">
        <f>GES!AF156</f>
        <v>0.12486532096400001</v>
      </c>
      <c r="G126" s="354">
        <f>GES!AJ156</f>
        <v>9.6461057761954877E-2</v>
      </c>
      <c r="H126" s="354">
        <f>GES!AL156</f>
        <v>7.9324242763608527E-2</v>
      </c>
      <c r="I126" s="354">
        <f>GES!AN156</f>
        <v>7.4362799967145343E-2</v>
      </c>
      <c r="J126" s="354">
        <f>GES!AP156</f>
        <v>6.0016593305535E-2</v>
      </c>
      <c r="K126" s="354">
        <f>GES!AQ156</f>
        <v>6.1666677327032147E-2</v>
      </c>
      <c r="L126" s="455">
        <f>GES!AR156</f>
        <v>8.055100732347166E-2</v>
      </c>
      <c r="M126" s="115"/>
    </row>
    <row r="127" spans="1:13" outlineLevel="5">
      <c r="A127" s="127"/>
      <c r="C127" s="151"/>
      <c r="D127" s="115"/>
      <c r="E127" s="355" t="s">
        <v>29</v>
      </c>
      <c r="F127" s="354">
        <f>GES!AF157</f>
        <v>0.69148094808869398</v>
      </c>
      <c r="G127" s="354">
        <f>GES!AJ157</f>
        <v>-0.5506157270239912</v>
      </c>
      <c r="H127" s="354">
        <f>GES!AL157</f>
        <v>0.20247617830704243</v>
      </c>
      <c r="I127" s="354">
        <f>GES!AN157</f>
        <v>4.7879348130714428E-2</v>
      </c>
      <c r="J127" s="354">
        <f>GES!AP157</f>
        <v>-3.401932447028802E-2</v>
      </c>
      <c r="K127" s="354">
        <f>GES!AQ157</f>
        <v>-0.14906150466050452</v>
      </c>
      <c r="L127" s="455">
        <f>GES!AR157</f>
        <v>-0.22095141043581762</v>
      </c>
      <c r="M127" s="115"/>
    </row>
    <row r="128" spans="1:13" ht="15" outlineLevel="5" thickBot="1">
      <c r="A128" s="127"/>
      <c r="C128" s="151" t="str">
        <f t="shared" si="1"/>
        <v>Barrages</v>
      </c>
      <c r="D128" s="115"/>
      <c r="E128" s="356" t="s">
        <v>113</v>
      </c>
      <c r="F128" s="457">
        <f>GES!AF158</f>
        <v>0.2841703333333333</v>
      </c>
      <c r="G128" s="457">
        <f>GES!AJ158</f>
        <v>0.26388366666666668</v>
      </c>
      <c r="H128" s="457">
        <f>GES!AL158</f>
        <v>0.25385033333333334</v>
      </c>
      <c r="I128" s="457">
        <f>GES!AN158</f>
        <v>0.25385033333333334</v>
      </c>
      <c r="J128" s="457">
        <f>GES!AP158</f>
        <v>0.25385033333333334</v>
      </c>
      <c r="K128" s="457">
        <f>GES!AQ158</f>
        <v>0.25385033333333334</v>
      </c>
      <c r="L128" s="458">
        <f>GES!AR158</f>
        <v>0.25385033333333334</v>
      </c>
      <c r="M128" s="115"/>
    </row>
    <row r="129" spans="1:13" outlineLevel="5">
      <c r="A129" s="127"/>
      <c r="C129" s="151"/>
      <c r="D129" s="115"/>
      <c r="E129" s="610" t="s">
        <v>974</v>
      </c>
      <c r="F129" s="610"/>
      <c r="G129" s="610"/>
      <c r="H129" s="610"/>
      <c r="I129" s="610"/>
      <c r="J129" s="610"/>
      <c r="K129" s="610"/>
      <c r="L129" s="610"/>
      <c r="M129" s="115"/>
    </row>
    <row r="130" spans="1:13" outlineLevel="4">
      <c r="A130" s="127"/>
      <c r="C130" s="151"/>
      <c r="D130" s="115"/>
      <c r="E130" s="402"/>
      <c r="F130" s="402"/>
      <c r="G130" s="402"/>
      <c r="H130" s="402"/>
      <c r="I130" s="402"/>
      <c r="J130" s="402"/>
      <c r="K130" s="402"/>
      <c r="L130" s="402"/>
      <c r="M130" s="115"/>
    </row>
    <row r="131" spans="1:13" outlineLevel="4">
      <c r="A131" s="127"/>
      <c r="C131" s="151" t="str">
        <f>IF(ISBLANK(E131),IF(ISBLANK(F131),"",F131),E131)</f>
        <v/>
      </c>
      <c r="D131" s="115"/>
      <c r="E131" s="610"/>
      <c r="F131" s="610"/>
      <c r="G131" s="610"/>
      <c r="H131" s="610"/>
      <c r="I131" s="610"/>
      <c r="J131" s="610"/>
      <c r="K131" s="610"/>
      <c r="L131" s="610"/>
      <c r="M131" s="115"/>
    </row>
    <row r="132" spans="1:13">
      <c r="A132" s="151" t="str">
        <f t="shared" si="1"/>
        <v/>
      </c>
      <c r="C132" s="151" t="str">
        <f t="shared" si="1"/>
        <v/>
      </c>
      <c r="D132" s="649"/>
      <c r="E132" s="649"/>
      <c r="F132" s="649"/>
    </row>
    <row r="133" spans="1:13">
      <c r="C133" s="151" t="str">
        <f t="shared" si="1"/>
        <v/>
      </c>
    </row>
  </sheetData>
  <mergeCells count="46">
    <mergeCell ref="F114:M114"/>
    <mergeCell ref="E118:L118"/>
    <mergeCell ref="E129:L129"/>
    <mergeCell ref="E131:L131"/>
    <mergeCell ref="D132:F132"/>
    <mergeCell ref="E111:L111"/>
    <mergeCell ref="E59:L59"/>
    <mergeCell ref="E73:L73"/>
    <mergeCell ref="F96:M96"/>
    <mergeCell ref="E98:L98"/>
    <mergeCell ref="E99:L99"/>
    <mergeCell ref="E87:L87"/>
    <mergeCell ref="E100:L100"/>
    <mergeCell ref="E107:L107"/>
    <mergeCell ref="D110:G110"/>
    <mergeCell ref="E75:L75"/>
    <mergeCell ref="E89:L89"/>
    <mergeCell ref="E94:L94"/>
    <mergeCell ref="E1:M1"/>
    <mergeCell ref="E3:I3"/>
    <mergeCell ref="J3:M3"/>
    <mergeCell ref="O3:Q3"/>
    <mergeCell ref="F5:G5"/>
    <mergeCell ref="H5:I5"/>
    <mergeCell ref="J5:K5"/>
    <mergeCell ref="L5:M5"/>
    <mergeCell ref="R3:T3"/>
    <mergeCell ref="F4:G4"/>
    <mergeCell ref="H4:I4"/>
    <mergeCell ref="J4:K4"/>
    <mergeCell ref="L4:M4"/>
    <mergeCell ref="E30:L30"/>
    <mergeCell ref="F55:M55"/>
    <mergeCell ref="E48:L48"/>
    <mergeCell ref="F11:M11"/>
    <mergeCell ref="E8:L8"/>
    <mergeCell ref="E15:L15"/>
    <mergeCell ref="E19:L19"/>
    <mergeCell ref="E21:L21"/>
    <mergeCell ref="E35:L35"/>
    <mergeCell ref="E41:L41"/>
    <mergeCell ref="E52:L52"/>
    <mergeCell ref="E32:L32"/>
    <mergeCell ref="E37:L37"/>
    <mergeCell ref="E43:L43"/>
    <mergeCell ref="E46:L46"/>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3185" r:id="rId4" name="Spinner 1">
              <controlPr defaultSize="0" autoPict="0">
                <anchor moveWithCells="1" sizeWithCells="1">
                  <from>
                    <xdr:col>13</xdr:col>
                    <xdr:colOff>617220</xdr:colOff>
                    <xdr:row>3</xdr:row>
                    <xdr:rowOff>0</xdr:rowOff>
                  </from>
                  <to>
                    <xdr:col>13</xdr:col>
                    <xdr:colOff>861060</xdr:colOff>
                    <xdr:row>5</xdr:row>
                    <xdr:rowOff>0</xdr:rowOff>
                  </to>
                </anchor>
              </controlPr>
            </control>
          </mc:Choice>
        </mc:AlternateContent>
      </controls>
    </mc:Choice>
  </mc:AlternateContent>
  <tableParts count="4">
    <tablePart r:id="rId5"/>
    <tablePart r:id="rId6"/>
    <tablePart r:id="rId7"/>
    <tablePart r:id="rId8"/>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73277"/>
  </sheetPr>
  <dimension ref="A1:T142"/>
  <sheetViews>
    <sheetView showGridLines="0" zoomScale="55" zoomScaleNormal="55" workbookViewId="0">
      <pane ySplit="6" topLeftCell="A7" activePane="bottomLeft" state="frozen"/>
      <selection pane="bottomLeft" activeCell="E11" sqref="E11"/>
    </sheetView>
  </sheetViews>
  <sheetFormatPr baseColWidth="10" defaultColWidth="11.5546875" defaultRowHeight="14.4" outlineLevelRow="4"/>
  <cols>
    <col min="1" max="1" width="3.109375" style="399" customWidth="1"/>
    <col min="2" max="2" width="3.109375" style="400" customWidth="1"/>
    <col min="3" max="3" width="3.109375" style="399" customWidth="1"/>
    <col min="4" max="4" width="7.33203125" style="399" customWidth="1"/>
    <col min="5" max="5" width="32.6640625" style="399" customWidth="1"/>
    <col min="6" max="7" width="11.5546875" style="399"/>
    <col min="8" max="8" width="11.5546875" style="399" customWidth="1"/>
    <col min="9" max="9" width="11.5546875" style="399"/>
    <col min="10" max="10" width="11.5546875" style="399" customWidth="1"/>
    <col min="11" max="12" width="11.5546875" style="399"/>
    <col min="13" max="13" width="10.88671875" style="399" customWidth="1"/>
    <col min="14" max="14" width="12.5546875" style="399" customWidth="1"/>
    <col min="15" max="15" width="13.5546875" style="399" customWidth="1"/>
    <col min="16" max="16" width="13" style="399" customWidth="1"/>
    <col min="17" max="16384" width="11.5546875" style="399"/>
  </cols>
  <sheetData>
    <row r="1" spans="1:20" ht="25.95" customHeight="1" thickBot="1">
      <c r="D1" s="368"/>
      <c r="E1" s="619" t="s">
        <v>940</v>
      </c>
      <c r="F1" s="619"/>
      <c r="G1" s="619"/>
      <c r="H1" s="619"/>
      <c r="I1" s="619"/>
      <c r="J1" s="619"/>
      <c r="K1" s="619"/>
      <c r="L1" s="619"/>
      <c r="M1" s="619"/>
    </row>
    <row r="2" spans="1:20" ht="10.95" customHeight="1" thickTop="1">
      <c r="D2" s="2"/>
      <c r="E2" s="150"/>
      <c r="F2" s="150"/>
      <c r="G2" s="150"/>
      <c r="H2" s="150"/>
      <c r="I2" s="150"/>
      <c r="J2" s="150"/>
      <c r="K2" s="150"/>
      <c r="L2" s="150"/>
      <c r="M2" s="150"/>
    </row>
    <row r="3" spans="1:20" ht="28.95" customHeight="1">
      <c r="D3" s="2"/>
      <c r="E3" s="620" t="str">
        <f>HYPERLINK("#DROM!E"&amp;TEXT(MATCH(E8,C1:C956,0),"#"),E8)</f>
        <v>Hypothèses</v>
      </c>
      <c r="F3" s="621"/>
      <c r="G3" s="621"/>
      <c r="H3" s="621"/>
      <c r="I3" s="621"/>
      <c r="J3" s="631" t="str">
        <f>HYPERLINK("#DROM!E"&amp;TEXT(MATCH(E122,C1:C956,0),"#"),E122)</f>
        <v>Résultats</v>
      </c>
      <c r="K3" s="631"/>
      <c r="L3" s="631"/>
      <c r="M3" s="631"/>
      <c r="O3" s="623" t="s">
        <v>181</v>
      </c>
      <c r="P3" s="623"/>
      <c r="Q3" s="623"/>
      <c r="R3" s="628" t="s">
        <v>137</v>
      </c>
      <c r="S3" s="628"/>
      <c r="T3" s="628"/>
    </row>
    <row r="4" spans="1:20" ht="26.4" customHeight="1">
      <c r="D4" s="184"/>
      <c r="E4" s="357" t="str">
        <f>IFERROR(IF(Moteur!$D$14=3,HYPERLINK("#"&amp;$E$1&amp;"!E"&amp;TEXT(MATCH(Moteur!F43,$C1:$C956,0),"#"),Moteur!F43),IF(Moteur!$D$14=2,HYPERLINK("#"&amp;$E$1&amp;"!E"&amp;TEXT(MATCH(Moteur!F43,$C1:$C956,0),"#"),Moteur!F43),HYPERLINK("#"&amp;$E$1&amp;"!E"&amp;TEXT(MATCH(Moteur!F43,$C1:$C956,0),"#"),Moteur!F43))),"")</f>
        <v>Cadrage macro-économique</v>
      </c>
      <c r="F4" s="624" t="str">
        <f>IFERROR(IF(Moteur!$D$14=3,HYPERLINK("#"&amp;$E$1&amp;"!E"&amp;TEXT(MATCH(Moteur!G43,$C1:$C956,0),"#"),Moteur!G43),IF(Moteur!$D$14=2,HYPERLINK("#"&amp;$E$1&amp;"!E"&amp;TEXT(MATCH(Moteur!G43,$C1:$C956,0),"#"),Moteur!G43),HYPERLINK("#"&amp;$E$1&amp;"!E"&amp;TEXT(MATCH(Moteur!G43,$C1:$C956,0),"#"),Moteur!G43))),"")</f>
        <v>Mix électrique</v>
      </c>
      <c r="G4" s="625"/>
      <c r="H4" s="624" t="str">
        <f>IFERROR(IF(Moteur!$D$14=3,HYPERLINK("#"&amp;$E$1&amp;"!E"&amp;TEXT(MATCH(Moteur!H40,$C1:$C956,0),"#"),Moteur!H40),IF(Moteur!$D$14=2,HYPERLINK("#"&amp;$E$1&amp;"!E"&amp;TEXT(MATCH(Moteur!H41,$C1:$C956,0),"#"),Moteur!H41),HYPERLINK("#"&amp;$E$1&amp;"!E"&amp;TEXT(MATCH(Moteur!H42,$C1:$C956,0),"#"),Moteur!H42))),"")</f>
        <v/>
      </c>
      <c r="I4" s="625"/>
      <c r="J4" s="640" t="str">
        <f>HYPERLINK("#"&amp;$E$1&amp;"!E"&amp;TEXT(MATCH(F125,$C1:$C956,0),"#"),F125)</f>
        <v>Emissions de gaz à effet de serre</v>
      </c>
      <c r="K4" s="633"/>
      <c r="L4" s="640"/>
      <c r="M4" s="633"/>
      <c r="O4" s="359" t="str">
        <f>IF(Moteur!$D$6=3,HYPERLINK("#"&amp;Moteur!F5&amp;"!E1",Moteur!F5),IF(Moteur!$D$6=2,HYPERLINK("#"&amp;Moteur!F6&amp;"!E1",Moteur!F6),HYPERLINK("#"&amp;Moteur!F7&amp;"!E1",Moteur!F7)))</f>
        <v>Cadrage</v>
      </c>
      <c r="P4" s="359" t="str">
        <f>IF(Moteur!$D$6=3,HYPERLINK("#"&amp;Moteur!G5&amp;"!E1",Moteur!G5),IF(Moteur!$D$6=2,HYPERLINK("#"&amp;Moteur!G6&amp;"!E1",Moteur!G6),HYPERLINK("#"&amp;Moteur!G7&amp;"!E1",Moteur!G7)))</f>
        <v>Industrie</v>
      </c>
      <c r="Q4" s="360" t="str">
        <f>IF(Moteur!$D$6=3,HYPERLINK("#"&amp;Moteur!H5&amp;"!E1",Moteur!H5),IF(Moteur!$D$6=2,HYPERLINK("#"&amp;Moteur!H6&amp;"!E1",Moteur!H6),HYPERLINK("#"&amp;Moteur!H7&amp;"!E1",Moteur!H7)))</f>
        <v>Agriculture</v>
      </c>
      <c r="R4" s="362" t="str">
        <f>IF(Moteur!$D$6=3,HYPERLINK("#"&amp;Moteur!J5&amp;"!E1",Moteur!J5),IF(Moteur!$D$6=2,HYPERLINK("#"&amp;Moteur!J5&amp;"!E1",Moteur!J5),HYPERLINK("#"&amp;Moteur!J5&amp;"!E1",Moteur!J5)))</f>
        <v>Bilans</v>
      </c>
      <c r="S4" s="358" t="str">
        <f>IF(Moteur!$D$6=3,HYPERLINK("#"&amp;Moteur!K5&amp;"!E1",Moteur!K5),IF(Moteur!$D$6=2,HYPERLINK("#"&amp;Moteur!K5&amp;"!E1",Moteur!K5),HYPERLINK("#"&amp;Moteur!K5&amp;"!E1",Moteur!K5)))</f>
        <v>GES</v>
      </c>
      <c r="T4" s="478">
        <f>IF(Moteur!$D$6=3,HYPERLINK("#"&amp;Moteur!L5&amp;"!E1",Moteur!L5),IF(Moteur!$D$6=2,HYPERLINK("#"&amp;Moteur!L5&amp;"!E1",Moteur!L5),HYPERLINK("#"&amp;Moteur!L5&amp;"!E1",Moteur!L5)))</f>
        <v>0</v>
      </c>
    </row>
    <row r="5" spans="1:20" ht="26.4" customHeight="1">
      <c r="D5" s="184"/>
      <c r="E5" s="357"/>
      <c r="F5" s="624"/>
      <c r="G5" s="625"/>
      <c r="H5" s="624"/>
      <c r="I5" s="625"/>
      <c r="J5" s="632"/>
      <c r="K5" s="633"/>
      <c r="L5" s="632"/>
      <c r="M5" s="633"/>
      <c r="O5" s="359" t="str">
        <f>IF(Moteur!$D$6=3,HYPERLINK("#"&amp;Moteur!F6&amp;"!E1",Moteur!F6),IF(Moteur!$D$6=2,HYPERLINK("#"&amp;Moteur!F7&amp;"!E1",Moteur!F7),""))</f>
        <v>Energie</v>
      </c>
      <c r="P5" s="359" t="str">
        <f>IF(Moteur!$D$6=3,HYPERLINK("#"&amp;Moteur!G6&amp;"!E1",Moteur!G6),IF(Moteur!$D$6=2,HYPERLINK("#"&amp;Moteur!G7&amp;"!E1",Moteur!G7),""))</f>
        <v>Transports</v>
      </c>
      <c r="Q5" s="361" t="str">
        <f>IF(Moteur!$D$6=3,HYPERLINK("#"&amp;Moteur!H6&amp;"!E1",Moteur!H6),IF(Moteur!$D$6=2,HYPERLINK("#"&amp;Moteur!H7&amp;"!E1",Moteur!H7),""))</f>
        <v>Déchets</v>
      </c>
      <c r="R5" s="479">
        <f>IF(Moteur!$D$6=3,HYPERLINK("#"&amp;Moteur!J6&amp;"!E1",Moteur!J6),IF(Moteur!$D$6=2,HYPERLINK("#"&amp;Moteur!J7&amp;"!E1",Moteur!J6),HYPERLINK("#"&amp;Moteur!J5&amp;"!E1",Moteur!J6)))</f>
        <v>0</v>
      </c>
      <c r="S5" s="358" t="str">
        <f>IF(Moteur!$D$6=3,HYPERLINK("#"&amp;Moteur!K6&amp;"!E1",Moteur!K6),IF(Moteur!$D$6=2,HYPERLINK("#"&amp;Moteur!K7&amp;"!E1",Moteur!K6),HYPERLINK("#"&amp;Moteur!K5&amp;"!E1",Moteur!K6)))</f>
        <v xml:space="preserve"> </v>
      </c>
      <c r="T5" s="358" t="str">
        <f>IF(Moteur!$D$6=3,HYPERLINK("#"&amp;Moteur!L6&amp;"!E1",Moteur!L6),IF(Moteur!$D$6=2,HYPERLINK("#"&amp;Moteur!L7&amp;"!E1",Moteur!L6),HYPERLINK("#"&amp;Moteur!L5&amp;"!E1",Moteur!L6)))</f>
        <v xml:space="preserve"> </v>
      </c>
    </row>
    <row r="6" spans="1:20" ht="11.4" customHeight="1">
      <c r="E6" s="152"/>
      <c r="F6" s="152"/>
      <c r="G6" s="152"/>
      <c r="H6" s="152"/>
      <c r="I6" s="152"/>
      <c r="J6" s="152"/>
      <c r="K6" s="152"/>
    </row>
    <row r="8" spans="1:20" ht="32.4" customHeight="1" thickBot="1">
      <c r="A8" s="363"/>
      <c r="C8" s="151" t="str">
        <f>IF(ISBLANK(E8),IF(ISBLANK(F8),"",F8),E8)</f>
        <v>Hypothèses</v>
      </c>
      <c r="D8" s="369"/>
      <c r="E8" s="617" t="s">
        <v>134</v>
      </c>
      <c r="F8" s="617"/>
      <c r="G8" s="617"/>
      <c r="H8" s="617"/>
      <c r="I8" s="617"/>
      <c r="J8" s="617"/>
      <c r="K8" s="617"/>
      <c r="L8" s="617"/>
      <c r="M8" s="369"/>
      <c r="N8" s="149"/>
    </row>
    <row r="9" spans="1:20" ht="15" thickTop="1">
      <c r="A9" s="363"/>
      <c r="C9" s="151" t="str">
        <f t="shared" ref="C9:C74" si="0">IF(ISBLANK(E9),IF(ISBLANK(F9),"",F9),E9)</f>
        <v/>
      </c>
      <c r="D9" s="3"/>
      <c r="E9" s="3"/>
      <c r="F9" s="3"/>
      <c r="G9" s="3"/>
      <c r="H9" s="3"/>
      <c r="I9" s="3"/>
      <c r="J9" s="3"/>
      <c r="K9" s="3"/>
      <c r="L9" s="3"/>
      <c r="M9" s="3"/>
    </row>
    <row r="10" spans="1:20" ht="14.4" customHeight="1">
      <c r="A10" s="363"/>
      <c r="C10" s="151" t="str">
        <f t="shared" si="0"/>
        <v/>
      </c>
      <c r="D10" s="112"/>
      <c r="E10" s="113"/>
      <c r="F10" s="113"/>
      <c r="G10" s="113"/>
      <c r="H10" s="113"/>
      <c r="I10" s="113"/>
      <c r="J10" s="113"/>
      <c r="K10" s="113"/>
      <c r="L10" s="113"/>
      <c r="M10" s="3"/>
    </row>
    <row r="11" spans="1:20" ht="28.8" thickBot="1">
      <c r="A11" s="363"/>
      <c r="B11" s="364"/>
      <c r="C11" s="151" t="str">
        <f>IF(ISBLANK(E11),IF(ISBLANK(F11),"",F11),E11)</f>
        <v>Cadrage macro-économique</v>
      </c>
      <c r="D11" s="369"/>
      <c r="E11" s="370"/>
      <c r="F11" s="617" t="s">
        <v>962</v>
      </c>
      <c r="G11" s="617"/>
      <c r="H11" s="617"/>
      <c r="I11" s="617"/>
      <c r="J11" s="617"/>
      <c r="K11" s="617"/>
      <c r="L11" s="617"/>
      <c r="M11" s="617"/>
    </row>
    <row r="12" spans="1:20" ht="15" thickTop="1">
      <c r="A12" s="363"/>
      <c r="B12" s="364"/>
      <c r="C12" s="151" t="str">
        <f t="shared" si="0"/>
        <v/>
      </c>
    </row>
    <row r="13" spans="1:20" outlineLevel="1">
      <c r="A13" s="363"/>
      <c r="B13" s="364"/>
      <c r="C13" s="151" t="str">
        <f t="shared" si="0"/>
        <v/>
      </c>
      <c r="D13" s="115"/>
      <c r="E13" s="115"/>
      <c r="F13" s="115"/>
      <c r="G13" s="115"/>
      <c r="H13" s="115"/>
      <c r="I13" s="115"/>
      <c r="J13" s="115"/>
      <c r="K13" s="115"/>
      <c r="L13" s="115"/>
      <c r="M13" s="115"/>
    </row>
    <row r="14" spans="1:20" outlineLevel="1">
      <c r="A14" s="363"/>
      <c r="B14" s="364"/>
      <c r="C14" s="151" t="str">
        <f t="shared" si="0"/>
        <v/>
      </c>
      <c r="D14" s="115"/>
      <c r="E14" s="115"/>
      <c r="F14" s="115"/>
      <c r="G14" s="115"/>
      <c r="H14" s="115"/>
      <c r="I14" s="115"/>
      <c r="J14" s="115"/>
      <c r="K14" s="115"/>
      <c r="L14" s="115"/>
      <c r="M14" s="115"/>
    </row>
    <row r="15" spans="1:20" ht="15" outlineLevel="1" thickBot="1">
      <c r="A15" s="363"/>
      <c r="B15" s="364"/>
      <c r="C15" s="151" t="str">
        <f t="shared" si="0"/>
        <v>Evolution de la population</v>
      </c>
      <c r="D15" s="115"/>
      <c r="E15" s="615" t="s">
        <v>944</v>
      </c>
      <c r="F15" s="615"/>
      <c r="G15" s="615"/>
      <c r="H15" s="615"/>
      <c r="I15" s="615"/>
      <c r="J15" s="615"/>
      <c r="K15" s="615"/>
      <c r="L15" s="615"/>
      <c r="M15" s="115"/>
    </row>
    <row r="16" spans="1:20" outlineLevel="2">
      <c r="A16" s="363"/>
      <c r="B16" s="364"/>
      <c r="C16" s="151" t="str">
        <f t="shared" si="0"/>
        <v>Mhab</v>
      </c>
      <c r="D16" s="115"/>
      <c r="E16" s="200" t="s">
        <v>945</v>
      </c>
      <c r="F16" s="201" t="s">
        <v>313</v>
      </c>
      <c r="G16" s="201" t="s">
        <v>314</v>
      </c>
      <c r="H16" s="201" t="s">
        <v>125</v>
      </c>
      <c r="I16" s="201" t="s">
        <v>315</v>
      </c>
      <c r="J16" s="201" t="s">
        <v>316</v>
      </c>
      <c r="K16" s="201" t="s">
        <v>317</v>
      </c>
      <c r="L16" s="202" t="s">
        <v>133</v>
      </c>
      <c r="M16" s="115"/>
    </row>
    <row r="17" spans="1:13" outlineLevel="2">
      <c r="A17" s="363"/>
      <c r="B17" s="364"/>
      <c r="C17" s="151" t="str">
        <f t="shared" si="0"/>
        <v>Guadeloupe</v>
      </c>
      <c r="D17" s="115"/>
      <c r="E17" s="280" t="s">
        <v>772</v>
      </c>
      <c r="F17" s="440">
        <v>0.384239</v>
      </c>
      <c r="G17" s="441">
        <v>0.36</v>
      </c>
      <c r="H17" s="441">
        <v>0.34100000000000003</v>
      </c>
      <c r="I17" s="441">
        <v>0.32100000000000001</v>
      </c>
      <c r="J17" s="441">
        <v>0.30199999999999999</v>
      </c>
      <c r="K17" s="441">
        <v>0.28299999999999997</v>
      </c>
      <c r="L17" s="442">
        <v>0.26400000000000001</v>
      </c>
      <c r="M17" s="115"/>
    </row>
    <row r="18" spans="1:13" outlineLevel="2">
      <c r="A18" s="363"/>
      <c r="B18" s="364"/>
      <c r="C18" s="151" t="str">
        <f t="shared" si="0"/>
        <v>Martinique</v>
      </c>
      <c r="D18" s="115"/>
      <c r="E18" s="200" t="s">
        <v>771</v>
      </c>
      <c r="F18" s="443">
        <v>0.36899999999999999</v>
      </c>
      <c r="G18" s="444">
        <v>0.33900000000000002</v>
      </c>
      <c r="H18" s="445">
        <v>0.32</v>
      </c>
      <c r="I18" s="444">
        <v>0.30099999999999999</v>
      </c>
      <c r="J18" s="445">
        <v>0.28199999999999997</v>
      </c>
      <c r="K18" s="444">
        <v>0.26300000000000001</v>
      </c>
      <c r="L18" s="445">
        <v>0.24399999999999999</v>
      </c>
      <c r="M18" s="115"/>
    </row>
    <row r="19" spans="1:13" outlineLevel="2">
      <c r="A19" s="363"/>
      <c r="B19" s="364"/>
      <c r="C19" s="151" t="str">
        <f t="shared" si="0"/>
        <v>Guyane</v>
      </c>
      <c r="D19" s="115"/>
      <c r="E19" s="200" t="s">
        <v>773</v>
      </c>
      <c r="F19" s="443">
        <v>0.28167799999999998</v>
      </c>
      <c r="G19" s="444">
        <v>0.312</v>
      </c>
      <c r="H19" s="445">
        <v>0.33600000000000002</v>
      </c>
      <c r="I19" s="444">
        <v>0.36</v>
      </c>
      <c r="J19" s="445">
        <v>0.38200000000000001</v>
      </c>
      <c r="K19" s="444">
        <v>0.40300000000000002</v>
      </c>
      <c r="L19" s="445">
        <v>0.42099999999999999</v>
      </c>
      <c r="M19" s="115"/>
    </row>
    <row r="20" spans="1:13" outlineLevel="2">
      <c r="A20" s="363"/>
      <c r="B20" s="364"/>
      <c r="C20" s="151" t="str">
        <f t="shared" si="0"/>
        <v>Mayotte</v>
      </c>
      <c r="D20" s="115"/>
      <c r="E20" s="200" t="s">
        <v>774</v>
      </c>
      <c r="F20" s="443">
        <v>0.26700000000000002</v>
      </c>
      <c r="G20" s="444">
        <v>0.315</v>
      </c>
      <c r="H20" s="445">
        <v>0.36199999999999999</v>
      </c>
      <c r="I20" s="444">
        <v>0.41699999999999998</v>
      </c>
      <c r="J20" s="445">
        <v>0.48</v>
      </c>
      <c r="K20" s="444">
        <v>0.55000000000000004</v>
      </c>
      <c r="L20" s="445">
        <v>0.626</v>
      </c>
      <c r="M20" s="115"/>
    </row>
    <row r="21" spans="1:13" ht="15" outlineLevel="2" thickBot="1">
      <c r="A21" s="363"/>
      <c r="B21" s="364"/>
      <c r="C21" s="151" t="str">
        <f t="shared" si="0"/>
        <v>Réunion</v>
      </c>
      <c r="D21" s="115"/>
      <c r="E21" s="193" t="s">
        <v>942</v>
      </c>
      <c r="F21" s="443">
        <v>0.86121000000000003</v>
      </c>
      <c r="G21" s="295">
        <v>0.879</v>
      </c>
      <c r="H21" s="445">
        <v>0.89300000000000002</v>
      </c>
      <c r="I21" s="295">
        <v>0.90400000000000003</v>
      </c>
      <c r="J21" s="445">
        <v>0.91300000000000003</v>
      </c>
      <c r="K21" s="295">
        <v>0.91700000000000004</v>
      </c>
      <c r="L21" s="445">
        <v>0.91800000000000004</v>
      </c>
      <c r="M21" s="115"/>
    </row>
    <row r="22" spans="1:13" ht="14.4" customHeight="1" outlineLevel="2">
      <c r="A22" s="363"/>
      <c r="B22" s="364"/>
      <c r="C22" s="151" t="str">
        <f t="shared" si="0"/>
        <v/>
      </c>
      <c r="D22" s="115"/>
      <c r="E22" s="616"/>
      <c r="F22" s="616"/>
      <c r="G22" s="616"/>
      <c r="H22" s="616"/>
      <c r="I22" s="616"/>
      <c r="J22" s="616"/>
      <c r="K22" s="616"/>
      <c r="L22" s="616"/>
      <c r="M22" s="115"/>
    </row>
    <row r="23" spans="1:13" outlineLevel="1">
      <c r="A23" s="363"/>
      <c r="B23" s="364"/>
      <c r="C23" s="151" t="str">
        <f t="shared" si="0"/>
        <v/>
      </c>
      <c r="D23" s="115"/>
      <c r="E23" s="115"/>
      <c r="F23" s="115"/>
      <c r="G23" s="115"/>
      <c r="H23" s="115"/>
      <c r="I23" s="115"/>
      <c r="J23" s="115"/>
      <c r="K23" s="115"/>
      <c r="L23" s="115"/>
      <c r="M23" s="115"/>
    </row>
    <row r="24" spans="1:13" ht="15" outlineLevel="1" thickBot="1">
      <c r="A24" s="363"/>
      <c r="B24" s="364"/>
      <c r="C24" s="151" t="str">
        <f t="shared" si="0"/>
        <v>Evolution du PIB/hab</v>
      </c>
      <c r="D24" s="115"/>
      <c r="E24" s="615" t="s">
        <v>941</v>
      </c>
      <c r="F24" s="615"/>
      <c r="G24" s="615"/>
      <c r="H24" s="615"/>
      <c r="I24" s="615"/>
      <c r="J24" s="615"/>
      <c r="K24" s="615"/>
      <c r="L24" s="615"/>
      <c r="M24" s="115"/>
    </row>
    <row r="25" spans="1:13" outlineLevel="2">
      <c r="A25" s="363"/>
      <c r="B25" s="364"/>
      <c r="C25" s="151" t="str">
        <f t="shared" si="0"/>
        <v>€/hab</v>
      </c>
      <c r="D25" s="115"/>
      <c r="E25" s="200" t="s">
        <v>943</v>
      </c>
      <c r="F25" s="201" t="s">
        <v>313</v>
      </c>
      <c r="G25" s="201" t="s">
        <v>314</v>
      </c>
      <c r="H25" s="201" t="s">
        <v>125</v>
      </c>
      <c r="I25" s="201" t="s">
        <v>315</v>
      </c>
      <c r="J25" s="201" t="s">
        <v>316</v>
      </c>
      <c r="K25" s="201" t="s">
        <v>317</v>
      </c>
      <c r="L25" s="202" t="s">
        <v>133</v>
      </c>
      <c r="M25" s="115"/>
    </row>
    <row r="26" spans="1:13" outlineLevel="2">
      <c r="A26" s="363"/>
      <c r="B26" s="364"/>
      <c r="C26" s="151" t="str">
        <f t="shared" si="0"/>
        <v>Guadeloupe</v>
      </c>
      <c r="D26" s="115"/>
      <c r="E26" s="280" t="s">
        <v>772</v>
      </c>
      <c r="F26" s="214">
        <v>24105</v>
      </c>
      <c r="G26" s="230">
        <v>25210.268127169842</v>
      </c>
      <c r="H26" s="230">
        <v>26169.940713011492</v>
      </c>
      <c r="I26" s="230">
        <v>27166.144900475545</v>
      </c>
      <c r="J26" s="230">
        <v>28200.271328345269</v>
      </c>
      <c r="K26" s="230">
        <v>29273.763572481403</v>
      </c>
      <c r="L26" s="436">
        <v>30388.120160963837</v>
      </c>
      <c r="M26" s="115"/>
    </row>
    <row r="27" spans="1:13" outlineLevel="2">
      <c r="A27" s="363"/>
      <c r="B27" s="364"/>
      <c r="C27" s="151" t="str">
        <f t="shared" si="0"/>
        <v>Martinique</v>
      </c>
      <c r="D27" s="115"/>
      <c r="E27" s="200" t="s">
        <v>771</v>
      </c>
      <c r="F27" s="437">
        <v>25075</v>
      </c>
      <c r="G27" s="438">
        <v>26302.930313544523</v>
      </c>
      <c r="H27" s="439">
        <v>27372.016612036095</v>
      </c>
      <c r="I27" s="438">
        <v>28484.556073350122</v>
      </c>
      <c r="J27" s="439">
        <v>29642.314857395268</v>
      </c>
      <c r="K27" s="438">
        <v>30847.13090989782</v>
      </c>
      <c r="L27" s="439">
        <v>32100.916880146371</v>
      </c>
      <c r="M27" s="115"/>
    </row>
    <row r="28" spans="1:13" outlineLevel="2">
      <c r="A28" s="363"/>
      <c r="B28" s="364"/>
      <c r="C28" s="151" t="str">
        <f t="shared" si="0"/>
        <v>Guyane</v>
      </c>
      <c r="D28" s="115"/>
      <c r="E28" s="200" t="s">
        <v>773</v>
      </c>
      <c r="F28" s="437">
        <v>15270</v>
      </c>
      <c r="G28" s="438">
        <v>16746.289836885917</v>
      </c>
      <c r="H28" s="439">
        <v>18084.9887194451</v>
      </c>
      <c r="I28" s="438">
        <v>19530.703228487579</v>
      </c>
      <c r="J28" s="439">
        <v>21091.988196217084</v>
      </c>
      <c r="K28" s="438">
        <v>22778.082328365334</v>
      </c>
      <c r="L28" s="439">
        <v>24598.962873061206</v>
      </c>
      <c r="M28" s="115"/>
    </row>
    <row r="29" spans="1:13" outlineLevel="2">
      <c r="A29" s="363"/>
      <c r="B29" s="364"/>
      <c r="C29" s="151" t="str">
        <f t="shared" si="0"/>
        <v>Mayotte</v>
      </c>
      <c r="D29" s="115"/>
      <c r="E29" s="200" t="s">
        <v>774</v>
      </c>
      <c r="F29" s="437">
        <v>9261</v>
      </c>
      <c r="G29" s="438">
        <v>11819.892586516044</v>
      </c>
      <c r="H29" s="439">
        <v>14484.71322699245</v>
      </c>
      <c r="I29" s="438">
        <v>17750.323510346832</v>
      </c>
      <c r="J29" s="439">
        <v>21752.172775835639</v>
      </c>
      <c r="K29" s="438">
        <v>25041.602686422335</v>
      </c>
      <c r="L29" s="439">
        <v>26903.496576724814</v>
      </c>
      <c r="M29" s="115"/>
    </row>
    <row r="30" spans="1:13" outlineLevel="2">
      <c r="A30" s="363"/>
      <c r="B30" s="364"/>
      <c r="C30" s="151" t="str">
        <f t="shared" si="0"/>
        <v>Réunion</v>
      </c>
      <c r="D30" s="115"/>
      <c r="E30" s="193" t="s">
        <v>942</v>
      </c>
      <c r="F30" s="437">
        <v>22948</v>
      </c>
      <c r="G30" s="232">
        <v>24000.217091155093</v>
      </c>
      <c r="H30" s="439">
        <v>24913.826985363521</v>
      </c>
      <c r="I30" s="232">
        <v>25862.215024937261</v>
      </c>
      <c r="J30" s="439">
        <v>26846.705100305633</v>
      </c>
      <c r="K30" s="232">
        <v>27868.671498083524</v>
      </c>
      <c r="L30" s="439">
        <v>28929.540819489652</v>
      </c>
      <c r="M30" s="115"/>
    </row>
    <row r="31" spans="1:13" outlineLevel="2">
      <c r="A31" s="363"/>
      <c r="B31" s="364"/>
      <c r="C31" s="151" t="str">
        <f t="shared" si="0"/>
        <v/>
      </c>
      <c r="D31" s="115"/>
      <c r="E31" s="115"/>
      <c r="F31" s="115"/>
      <c r="G31" s="115"/>
      <c r="H31" s="115"/>
      <c r="I31" s="115"/>
      <c r="J31" s="115"/>
      <c r="K31" s="115"/>
      <c r="L31" s="115"/>
      <c r="M31" s="115"/>
    </row>
    <row r="32" spans="1:13" outlineLevel="1">
      <c r="A32" s="363"/>
      <c r="B32" s="364"/>
      <c r="C32" s="151" t="str">
        <f t="shared" si="0"/>
        <v/>
      </c>
      <c r="D32" s="115"/>
      <c r="E32" s="115"/>
      <c r="F32" s="115"/>
      <c r="G32" s="115"/>
      <c r="H32" s="115"/>
      <c r="I32" s="115"/>
      <c r="J32" s="115"/>
      <c r="K32" s="115"/>
      <c r="L32" s="115"/>
      <c r="M32" s="115"/>
    </row>
    <row r="33" spans="1:13" ht="28.8" thickBot="1">
      <c r="A33" s="363"/>
      <c r="B33" s="364"/>
      <c r="C33" s="151" t="str">
        <f>IF(ISBLANK(E33),IF(ISBLANK(F33),"",F33),E33)</f>
        <v>Mix électrique</v>
      </c>
      <c r="D33" s="369"/>
      <c r="E33" s="370"/>
      <c r="F33" s="617" t="s">
        <v>961</v>
      </c>
      <c r="G33" s="617"/>
      <c r="H33" s="617"/>
      <c r="I33" s="617"/>
      <c r="J33" s="617"/>
      <c r="K33" s="617"/>
      <c r="L33" s="617"/>
      <c r="M33" s="617"/>
    </row>
    <row r="34" spans="1:13" ht="15" outlineLevel="1" thickTop="1">
      <c r="A34" s="363"/>
      <c r="B34" s="364"/>
      <c r="C34" s="151" t="str">
        <f t="shared" si="0"/>
        <v/>
      </c>
      <c r="D34" s="115"/>
      <c r="E34" s="115"/>
      <c r="F34" s="115"/>
      <c r="G34" s="115"/>
      <c r="H34" s="115"/>
      <c r="I34" s="115"/>
      <c r="J34" s="115"/>
      <c r="K34" s="115"/>
      <c r="L34" s="115"/>
      <c r="M34" s="115"/>
    </row>
    <row r="35" spans="1:13" ht="15" outlineLevel="1" thickBot="1">
      <c r="A35" s="363"/>
      <c r="B35" s="364"/>
      <c r="C35" s="151" t="str">
        <f t="shared" si="0"/>
        <v>Evolution du mix électrique - Guadeloupe</v>
      </c>
      <c r="D35" s="115"/>
      <c r="E35" s="615" t="s">
        <v>946</v>
      </c>
      <c r="F35" s="615"/>
      <c r="G35" s="615"/>
      <c r="H35" s="615"/>
      <c r="I35" s="615"/>
      <c r="J35" s="615"/>
      <c r="K35" s="615"/>
      <c r="L35" s="615"/>
      <c r="M35" s="115"/>
    </row>
    <row r="36" spans="1:13" outlineLevel="2">
      <c r="A36" s="363"/>
      <c r="B36" s="364"/>
      <c r="C36" s="151" t="str">
        <f t="shared" si="0"/>
        <v>%</v>
      </c>
      <c r="D36" s="115"/>
      <c r="E36" s="200" t="s">
        <v>121</v>
      </c>
      <c r="F36" s="201" t="s">
        <v>313</v>
      </c>
      <c r="G36" s="201" t="s">
        <v>314</v>
      </c>
      <c r="H36" s="201" t="s">
        <v>125</v>
      </c>
      <c r="I36" s="201" t="s">
        <v>315</v>
      </c>
      <c r="J36" s="201" t="s">
        <v>316</v>
      </c>
      <c r="K36" s="201" t="s">
        <v>317</v>
      </c>
      <c r="L36" s="202" t="s">
        <v>133</v>
      </c>
      <c r="M36" s="115"/>
    </row>
    <row r="37" spans="1:13" outlineLevel="2">
      <c r="A37" s="363"/>
      <c r="B37" s="364"/>
      <c r="C37" s="151" t="str">
        <f t="shared" si="0"/>
        <v>Pétrole</v>
      </c>
      <c r="D37" s="115"/>
      <c r="E37" s="280" t="s">
        <v>284</v>
      </c>
      <c r="F37" s="446">
        <v>0</v>
      </c>
      <c r="G37" s="230"/>
      <c r="H37" s="230"/>
      <c r="I37" s="230"/>
      <c r="J37" s="230"/>
      <c r="K37" s="230"/>
      <c r="L37" s="230">
        <v>0</v>
      </c>
      <c r="M37" s="115"/>
    </row>
    <row r="38" spans="1:13" outlineLevel="2">
      <c r="A38" s="363"/>
      <c r="B38" s="364"/>
      <c r="C38" s="151" t="str">
        <f t="shared" si="0"/>
        <v>Charbon</v>
      </c>
      <c r="D38" s="115"/>
      <c r="E38" s="200" t="s">
        <v>185</v>
      </c>
      <c r="F38" s="447">
        <v>14</v>
      </c>
      <c r="G38" s="438"/>
      <c r="H38" s="439"/>
      <c r="I38" s="438"/>
      <c r="J38" s="439"/>
      <c r="K38" s="438"/>
      <c r="L38" s="438">
        <v>10</v>
      </c>
      <c r="M38" s="115"/>
    </row>
    <row r="39" spans="1:13" outlineLevel="2">
      <c r="A39" s="363"/>
      <c r="B39" s="364"/>
      <c r="C39" s="151" t="str">
        <f t="shared" si="0"/>
        <v>PPR</v>
      </c>
      <c r="D39" s="115"/>
      <c r="E39" s="200" t="s">
        <v>947</v>
      </c>
      <c r="F39" s="447">
        <v>52</v>
      </c>
      <c r="G39" s="438"/>
      <c r="H39" s="439"/>
      <c r="I39" s="438"/>
      <c r="J39" s="439"/>
      <c r="K39" s="438"/>
      <c r="L39" s="438">
        <v>36</v>
      </c>
      <c r="M39" s="115"/>
    </row>
    <row r="40" spans="1:13" outlineLevel="2">
      <c r="A40" s="363"/>
      <c r="B40" s="364"/>
      <c r="C40" s="151" t="str">
        <f t="shared" si="0"/>
        <v>Photovoltaïque</v>
      </c>
      <c r="D40" s="115"/>
      <c r="E40" s="200" t="s">
        <v>948</v>
      </c>
      <c r="F40" s="447">
        <v>7</v>
      </c>
      <c r="G40" s="438"/>
      <c r="H40" s="439"/>
      <c r="I40" s="438"/>
      <c r="J40" s="439"/>
      <c r="K40" s="438"/>
      <c r="L40" s="438">
        <v>11</v>
      </c>
      <c r="M40" s="115"/>
    </row>
    <row r="41" spans="1:13" outlineLevel="2">
      <c r="A41" s="363"/>
      <c r="B41" s="364"/>
      <c r="C41" s="151" t="str">
        <f t="shared" si="0"/>
        <v>Géothermie</v>
      </c>
      <c r="D41" s="115"/>
      <c r="E41" s="193" t="s">
        <v>949</v>
      </c>
      <c r="F41" s="447">
        <v>5</v>
      </c>
      <c r="G41" s="438"/>
      <c r="H41" s="439"/>
      <c r="I41" s="438"/>
      <c r="J41" s="439"/>
      <c r="K41" s="438"/>
      <c r="L41" s="438">
        <v>16</v>
      </c>
      <c r="M41" s="115"/>
    </row>
    <row r="42" spans="1:13" outlineLevel="2">
      <c r="A42" s="363"/>
      <c r="B42" s="364"/>
      <c r="C42" s="151" t="str">
        <f t="shared" si="0"/>
        <v>Déchets</v>
      </c>
      <c r="D42" s="115"/>
      <c r="E42" s="280" t="s">
        <v>24</v>
      </c>
      <c r="F42" s="447">
        <v>0</v>
      </c>
      <c r="G42" s="438"/>
      <c r="H42" s="439"/>
      <c r="I42" s="438"/>
      <c r="J42" s="439"/>
      <c r="K42" s="438"/>
      <c r="L42" s="438">
        <v>0</v>
      </c>
      <c r="M42" s="115"/>
    </row>
    <row r="43" spans="1:13" outlineLevel="2">
      <c r="A43" s="363"/>
      <c r="B43" s="364"/>
      <c r="C43" s="151" t="str">
        <f t="shared" si="0"/>
        <v>Biocarburants</v>
      </c>
      <c r="D43" s="115"/>
      <c r="E43" s="200" t="s">
        <v>198</v>
      </c>
      <c r="F43" s="447">
        <v>0</v>
      </c>
      <c r="G43" s="438"/>
      <c r="H43" s="439"/>
      <c r="I43" s="438"/>
      <c r="J43" s="439"/>
      <c r="K43" s="438"/>
      <c r="L43" s="438">
        <v>0</v>
      </c>
      <c r="M43" s="115"/>
    </row>
    <row r="44" spans="1:13" outlineLevel="2">
      <c r="A44" s="363"/>
      <c r="B44" s="364"/>
      <c r="C44" s="151" t="str">
        <f t="shared" si="0"/>
        <v>Biomasse solide</v>
      </c>
      <c r="D44" s="115"/>
      <c r="E44" s="200" t="s">
        <v>197</v>
      </c>
      <c r="F44" s="447">
        <v>14</v>
      </c>
      <c r="G44" s="438"/>
      <c r="H44" s="439"/>
      <c r="I44" s="438"/>
      <c r="J44" s="439"/>
      <c r="K44" s="438"/>
      <c r="L44" s="438">
        <v>12</v>
      </c>
      <c r="M44" s="115"/>
    </row>
    <row r="45" spans="1:13" outlineLevel="2">
      <c r="A45" s="363"/>
      <c r="B45" s="364"/>
      <c r="C45" s="151" t="str">
        <f t="shared" si="0"/>
        <v>Eolien</v>
      </c>
      <c r="D45" s="115"/>
      <c r="E45" s="200" t="s">
        <v>950</v>
      </c>
      <c r="F45" s="447">
        <v>6</v>
      </c>
      <c r="G45" s="438"/>
      <c r="H45" s="439"/>
      <c r="I45" s="438"/>
      <c r="J45" s="439"/>
      <c r="K45" s="438"/>
      <c r="L45" s="438">
        <v>13</v>
      </c>
      <c r="M45" s="115"/>
    </row>
    <row r="46" spans="1:13" outlineLevel="2">
      <c r="A46" s="363"/>
      <c r="B46" s="364"/>
      <c r="C46" s="151" t="str">
        <f t="shared" si="0"/>
        <v>Hydraulique</v>
      </c>
      <c r="D46" s="115"/>
      <c r="E46" s="193" t="s">
        <v>513</v>
      </c>
      <c r="F46" s="447">
        <v>1</v>
      </c>
      <c r="G46" s="438"/>
      <c r="H46" s="439"/>
      <c r="I46" s="438"/>
      <c r="J46" s="439"/>
      <c r="K46" s="438"/>
      <c r="L46" s="438">
        <v>1</v>
      </c>
      <c r="M46" s="115"/>
    </row>
    <row r="47" spans="1:13" outlineLevel="2">
      <c r="A47" s="363"/>
      <c r="B47" s="364"/>
      <c r="C47" s="151" t="str">
        <f t="shared" si="0"/>
        <v>Gaz Renouvelable</v>
      </c>
      <c r="D47" s="115"/>
      <c r="E47" s="193" t="s">
        <v>951</v>
      </c>
      <c r="F47" s="447">
        <v>1</v>
      </c>
      <c r="G47" s="438"/>
      <c r="H47" s="439"/>
      <c r="I47" s="438"/>
      <c r="J47" s="439"/>
      <c r="K47" s="438"/>
      <c r="L47" s="438">
        <v>1</v>
      </c>
      <c r="M47" s="115"/>
    </row>
    <row r="48" spans="1:13" outlineLevel="2">
      <c r="A48" s="363"/>
      <c r="B48" s="364"/>
      <c r="C48" s="151" t="str">
        <f t="shared" si="0"/>
        <v/>
      </c>
      <c r="D48" s="115"/>
      <c r="E48" s="115"/>
      <c r="F48" s="115"/>
      <c r="G48" s="115"/>
      <c r="H48" s="115"/>
      <c r="I48" s="115"/>
      <c r="J48" s="115"/>
      <c r="K48" s="115"/>
      <c r="L48" s="115"/>
      <c r="M48" s="115"/>
    </row>
    <row r="49" spans="1:13" outlineLevel="1">
      <c r="A49" s="363"/>
      <c r="B49" s="364"/>
      <c r="C49" s="151"/>
      <c r="D49" s="115"/>
      <c r="E49" s="115"/>
      <c r="F49" s="115"/>
      <c r="G49" s="115"/>
      <c r="H49" s="115"/>
      <c r="I49" s="115"/>
      <c r="J49" s="115"/>
      <c r="K49" s="115"/>
      <c r="L49" s="115"/>
      <c r="M49" s="115"/>
    </row>
    <row r="50" spans="1:13" ht="15" outlineLevel="1" thickBot="1">
      <c r="A50" s="363"/>
      <c r="B50" s="364"/>
      <c r="C50" s="151" t="str">
        <f t="shared" si="0"/>
        <v>Evolution du mix électrique - Guyane</v>
      </c>
      <c r="D50" s="115"/>
      <c r="E50" s="615" t="s">
        <v>952</v>
      </c>
      <c r="F50" s="615"/>
      <c r="G50" s="615"/>
      <c r="H50" s="615"/>
      <c r="I50" s="615"/>
      <c r="J50" s="615"/>
      <c r="K50" s="615"/>
      <c r="L50" s="615"/>
      <c r="M50" s="115"/>
    </row>
    <row r="51" spans="1:13" outlineLevel="2">
      <c r="A51" s="363"/>
      <c r="B51" s="364"/>
      <c r="C51" s="151" t="str">
        <f t="shared" si="0"/>
        <v>%</v>
      </c>
      <c r="D51" s="115"/>
      <c r="E51" s="200" t="s">
        <v>121</v>
      </c>
      <c r="F51" s="201" t="s">
        <v>313</v>
      </c>
      <c r="G51" s="201" t="s">
        <v>314</v>
      </c>
      <c r="H51" s="201" t="s">
        <v>125</v>
      </c>
      <c r="I51" s="201" t="s">
        <v>315</v>
      </c>
      <c r="J51" s="201" t="s">
        <v>316</v>
      </c>
      <c r="K51" s="201" t="s">
        <v>317</v>
      </c>
      <c r="L51" s="202" t="s">
        <v>133</v>
      </c>
      <c r="M51" s="115"/>
    </row>
    <row r="52" spans="1:13" outlineLevel="2">
      <c r="A52" s="363"/>
      <c r="B52" s="364"/>
      <c r="C52" s="151" t="str">
        <f t="shared" si="0"/>
        <v>Pétrole</v>
      </c>
      <c r="D52" s="115"/>
      <c r="E52" s="280" t="s">
        <v>284</v>
      </c>
      <c r="F52" s="446">
        <v>0</v>
      </c>
      <c r="G52" s="230"/>
      <c r="H52" s="230"/>
      <c r="I52" s="230"/>
      <c r="J52" s="230"/>
      <c r="K52" s="230"/>
      <c r="L52" s="230">
        <v>0</v>
      </c>
      <c r="M52" s="115"/>
    </row>
    <row r="53" spans="1:13" outlineLevel="2">
      <c r="A53" s="363"/>
      <c r="B53" s="364"/>
      <c r="C53" s="151" t="str">
        <f t="shared" si="0"/>
        <v>Charbon</v>
      </c>
      <c r="D53" s="115"/>
      <c r="E53" s="200" t="s">
        <v>185</v>
      </c>
      <c r="F53" s="447">
        <v>0</v>
      </c>
      <c r="G53" s="438"/>
      <c r="H53" s="439"/>
      <c r="I53" s="438"/>
      <c r="J53" s="439"/>
      <c r="K53" s="438"/>
      <c r="L53" s="438">
        <v>0</v>
      </c>
      <c r="M53" s="115"/>
    </row>
    <row r="54" spans="1:13" outlineLevel="2">
      <c r="A54" s="363"/>
      <c r="B54" s="364"/>
      <c r="C54" s="151" t="str">
        <f t="shared" si="0"/>
        <v>PPR</v>
      </c>
      <c r="D54" s="115"/>
      <c r="E54" s="200" t="s">
        <v>947</v>
      </c>
      <c r="F54" s="447">
        <v>31</v>
      </c>
      <c r="G54" s="438"/>
      <c r="H54" s="439"/>
      <c r="I54" s="438"/>
      <c r="J54" s="439"/>
      <c r="K54" s="438"/>
      <c r="L54" s="438">
        <v>2</v>
      </c>
      <c r="M54" s="115"/>
    </row>
    <row r="55" spans="1:13" outlineLevel="2">
      <c r="A55" s="363"/>
      <c r="B55" s="364"/>
      <c r="C55" s="151" t="str">
        <f t="shared" si="0"/>
        <v>Photovoltaïque</v>
      </c>
      <c r="D55" s="115"/>
      <c r="E55" s="200" t="s">
        <v>948</v>
      </c>
      <c r="F55" s="447">
        <v>6</v>
      </c>
      <c r="G55" s="438"/>
      <c r="H55" s="439"/>
      <c r="I55" s="438"/>
      <c r="J55" s="439"/>
      <c r="K55" s="438"/>
      <c r="L55" s="438">
        <v>29</v>
      </c>
      <c r="M55" s="115"/>
    </row>
    <row r="56" spans="1:13" outlineLevel="2">
      <c r="A56" s="363"/>
      <c r="B56" s="364"/>
      <c r="C56" s="151" t="str">
        <f t="shared" si="0"/>
        <v>Géothermie</v>
      </c>
      <c r="D56" s="115"/>
      <c r="E56" s="193" t="s">
        <v>949</v>
      </c>
      <c r="F56" s="447">
        <v>0</v>
      </c>
      <c r="G56" s="438"/>
      <c r="H56" s="439"/>
      <c r="I56" s="438"/>
      <c r="J56" s="439"/>
      <c r="K56" s="438"/>
      <c r="L56" s="438">
        <v>0</v>
      </c>
      <c r="M56" s="115"/>
    </row>
    <row r="57" spans="1:13" outlineLevel="2">
      <c r="A57" s="363"/>
      <c r="B57" s="364"/>
      <c r="C57" s="151" t="str">
        <f t="shared" si="0"/>
        <v>Déchets</v>
      </c>
      <c r="D57" s="115"/>
      <c r="E57" s="280" t="s">
        <v>24</v>
      </c>
      <c r="F57" s="447">
        <v>0</v>
      </c>
      <c r="G57" s="438"/>
      <c r="H57" s="439"/>
      <c r="I57" s="438"/>
      <c r="J57" s="439"/>
      <c r="K57" s="438"/>
      <c r="L57" s="438">
        <v>0</v>
      </c>
      <c r="M57" s="115"/>
    </row>
    <row r="58" spans="1:13" outlineLevel="2">
      <c r="A58" s="363"/>
      <c r="B58" s="364"/>
      <c r="C58" s="151" t="str">
        <f t="shared" si="0"/>
        <v>Biocarburants</v>
      </c>
      <c r="D58" s="115"/>
      <c r="E58" s="200" t="s">
        <v>198</v>
      </c>
      <c r="F58" s="447">
        <v>0</v>
      </c>
      <c r="G58" s="438"/>
      <c r="H58" s="439"/>
      <c r="I58" s="438"/>
      <c r="J58" s="439"/>
      <c r="K58" s="438"/>
      <c r="L58" s="438">
        <v>11</v>
      </c>
      <c r="M58" s="115"/>
    </row>
    <row r="59" spans="1:13" outlineLevel="2">
      <c r="A59" s="363"/>
      <c r="B59" s="364"/>
      <c r="C59" s="151" t="str">
        <f t="shared" si="0"/>
        <v>Biomasse solide</v>
      </c>
      <c r="D59" s="115"/>
      <c r="E59" s="200" t="s">
        <v>197</v>
      </c>
      <c r="F59" s="447">
        <v>4</v>
      </c>
      <c r="G59" s="438"/>
      <c r="H59" s="439"/>
      <c r="I59" s="438"/>
      <c r="J59" s="439"/>
      <c r="K59" s="438"/>
      <c r="L59" s="438">
        <v>28</v>
      </c>
      <c r="M59" s="115"/>
    </row>
    <row r="60" spans="1:13" outlineLevel="2">
      <c r="A60" s="363"/>
      <c r="B60" s="364"/>
      <c r="C60" s="151" t="str">
        <f t="shared" si="0"/>
        <v>Eolien</v>
      </c>
      <c r="D60" s="115"/>
      <c r="E60" s="200" t="s">
        <v>950</v>
      </c>
      <c r="F60" s="447">
        <v>0</v>
      </c>
      <c r="G60" s="438"/>
      <c r="H60" s="439"/>
      <c r="I60" s="438"/>
      <c r="J60" s="439"/>
      <c r="K60" s="438"/>
      <c r="L60" s="438">
        <v>1</v>
      </c>
      <c r="M60" s="115"/>
    </row>
    <row r="61" spans="1:13" outlineLevel="2">
      <c r="A61" s="363"/>
      <c r="B61" s="364"/>
      <c r="C61" s="151" t="str">
        <f t="shared" si="0"/>
        <v>Hydraulique</v>
      </c>
      <c r="D61" s="115"/>
      <c r="E61" s="193" t="s">
        <v>513</v>
      </c>
      <c r="F61" s="447">
        <v>60</v>
      </c>
      <c r="G61" s="438"/>
      <c r="H61" s="439"/>
      <c r="I61" s="438"/>
      <c r="J61" s="439"/>
      <c r="K61" s="438"/>
      <c r="L61" s="438">
        <v>27</v>
      </c>
      <c r="M61" s="115"/>
    </row>
    <row r="62" spans="1:13" outlineLevel="2">
      <c r="A62" s="363"/>
      <c r="B62" s="364"/>
      <c r="C62" s="151" t="str">
        <f t="shared" si="0"/>
        <v>Gaz Renouvelable</v>
      </c>
      <c r="D62" s="115"/>
      <c r="E62" s="193" t="s">
        <v>951</v>
      </c>
      <c r="F62" s="447">
        <v>0</v>
      </c>
      <c r="G62" s="438"/>
      <c r="H62" s="439"/>
      <c r="I62" s="438"/>
      <c r="J62" s="439"/>
      <c r="K62" s="438"/>
      <c r="L62" s="438">
        <v>1</v>
      </c>
      <c r="M62" s="115"/>
    </row>
    <row r="63" spans="1:13" outlineLevel="2">
      <c r="A63" s="363"/>
      <c r="B63" s="364"/>
      <c r="C63" s="151" t="str">
        <f t="shared" si="0"/>
        <v/>
      </c>
      <c r="D63" s="115"/>
      <c r="E63" s="115"/>
      <c r="F63" s="115"/>
      <c r="G63" s="115"/>
      <c r="H63" s="115"/>
      <c r="I63" s="115"/>
      <c r="J63" s="115"/>
      <c r="K63" s="115"/>
      <c r="L63" s="115"/>
      <c r="M63" s="115"/>
    </row>
    <row r="64" spans="1:13" outlineLevel="1">
      <c r="A64" s="363"/>
      <c r="B64" s="364"/>
      <c r="C64" s="151"/>
      <c r="D64" s="115"/>
      <c r="E64" s="115"/>
      <c r="F64" s="115"/>
      <c r="G64" s="115"/>
      <c r="H64" s="115"/>
      <c r="I64" s="115"/>
      <c r="J64" s="115"/>
      <c r="K64" s="115"/>
      <c r="L64" s="115"/>
      <c r="M64" s="115"/>
    </row>
    <row r="65" spans="1:13" ht="15" outlineLevel="1" thickBot="1">
      <c r="A65" s="363"/>
      <c r="B65" s="364"/>
      <c r="C65" s="151" t="str">
        <f t="shared" si="0"/>
        <v>Evolution du mix électrique - Martinique</v>
      </c>
      <c r="D65" s="115"/>
      <c r="E65" s="615" t="s">
        <v>953</v>
      </c>
      <c r="F65" s="615"/>
      <c r="G65" s="615"/>
      <c r="H65" s="615"/>
      <c r="I65" s="615"/>
      <c r="J65" s="615"/>
      <c r="K65" s="615"/>
      <c r="L65" s="615"/>
      <c r="M65" s="115"/>
    </row>
    <row r="66" spans="1:13" outlineLevel="2">
      <c r="A66" s="363"/>
      <c r="B66" s="364"/>
      <c r="C66" s="151" t="str">
        <f t="shared" si="0"/>
        <v>%</v>
      </c>
      <c r="D66" s="115"/>
      <c r="E66" s="200" t="s">
        <v>121</v>
      </c>
      <c r="F66" s="201" t="s">
        <v>313</v>
      </c>
      <c r="G66" s="201" t="s">
        <v>314</v>
      </c>
      <c r="H66" s="201" t="s">
        <v>125</v>
      </c>
      <c r="I66" s="201" t="s">
        <v>315</v>
      </c>
      <c r="J66" s="201" t="s">
        <v>316</v>
      </c>
      <c r="K66" s="201" t="s">
        <v>317</v>
      </c>
      <c r="L66" s="202" t="s">
        <v>133</v>
      </c>
      <c r="M66" s="115"/>
    </row>
    <row r="67" spans="1:13" outlineLevel="2">
      <c r="A67" s="363"/>
      <c r="B67" s="364"/>
      <c r="C67" s="151" t="str">
        <f t="shared" si="0"/>
        <v>Pétrole</v>
      </c>
      <c r="D67" s="115"/>
      <c r="E67" s="280" t="s">
        <v>284</v>
      </c>
      <c r="F67" s="446">
        <v>0</v>
      </c>
      <c r="G67" s="230"/>
      <c r="H67" s="230"/>
      <c r="I67" s="230"/>
      <c r="J67" s="230"/>
      <c r="K67" s="230"/>
      <c r="L67" s="230">
        <v>0</v>
      </c>
      <c r="M67" s="115"/>
    </row>
    <row r="68" spans="1:13" outlineLevel="2">
      <c r="A68" s="363"/>
      <c r="B68" s="364"/>
      <c r="C68" s="151" t="str">
        <f t="shared" si="0"/>
        <v>Charbon</v>
      </c>
      <c r="D68" s="115"/>
      <c r="E68" s="200" t="s">
        <v>185</v>
      </c>
      <c r="F68" s="447">
        <v>0</v>
      </c>
      <c r="G68" s="438"/>
      <c r="H68" s="439"/>
      <c r="I68" s="438"/>
      <c r="J68" s="439"/>
      <c r="K68" s="438"/>
      <c r="L68" s="438">
        <v>0</v>
      </c>
      <c r="M68" s="115"/>
    </row>
    <row r="69" spans="1:13" outlineLevel="2">
      <c r="A69" s="363"/>
      <c r="B69" s="364"/>
      <c r="C69" s="151" t="str">
        <f t="shared" si="0"/>
        <v>PPR</v>
      </c>
      <c r="D69" s="115"/>
      <c r="E69" s="200" t="s">
        <v>947</v>
      </c>
      <c r="F69" s="447">
        <v>75</v>
      </c>
      <c r="G69" s="438"/>
      <c r="H69" s="439"/>
      <c r="I69" s="438"/>
      <c r="J69" s="439"/>
      <c r="K69" s="438"/>
      <c r="L69" s="438">
        <v>32</v>
      </c>
      <c r="M69" s="115"/>
    </row>
    <row r="70" spans="1:13" outlineLevel="2">
      <c r="A70" s="363"/>
      <c r="B70" s="364"/>
      <c r="C70" s="151" t="str">
        <f t="shared" si="0"/>
        <v>Photovoltaïque</v>
      </c>
      <c r="D70" s="115"/>
      <c r="E70" s="200" t="s">
        <v>948</v>
      </c>
      <c r="F70" s="447">
        <v>6</v>
      </c>
      <c r="G70" s="438"/>
      <c r="H70" s="439"/>
      <c r="I70" s="438"/>
      <c r="J70" s="439"/>
      <c r="K70" s="438"/>
      <c r="L70" s="438">
        <v>15</v>
      </c>
      <c r="M70" s="115"/>
    </row>
    <row r="71" spans="1:13" outlineLevel="2">
      <c r="A71" s="363"/>
      <c r="B71" s="364"/>
      <c r="C71" s="151" t="str">
        <f t="shared" si="0"/>
        <v>Géothermie</v>
      </c>
      <c r="D71" s="115"/>
      <c r="E71" s="193" t="s">
        <v>949</v>
      </c>
      <c r="F71" s="447">
        <v>0</v>
      </c>
      <c r="G71" s="438"/>
      <c r="H71" s="439"/>
      <c r="I71" s="438"/>
      <c r="J71" s="439"/>
      <c r="K71" s="438"/>
      <c r="L71" s="438">
        <v>28</v>
      </c>
      <c r="M71" s="115"/>
    </row>
    <row r="72" spans="1:13" outlineLevel="2">
      <c r="A72" s="363"/>
      <c r="B72" s="364"/>
      <c r="C72" s="151" t="str">
        <f t="shared" si="0"/>
        <v>Déchets</v>
      </c>
      <c r="D72" s="115"/>
      <c r="E72" s="280" t="s">
        <v>24</v>
      </c>
      <c r="F72" s="447">
        <v>2</v>
      </c>
      <c r="G72" s="438"/>
      <c r="H72" s="439"/>
      <c r="I72" s="438"/>
      <c r="J72" s="439"/>
      <c r="K72" s="438"/>
      <c r="L72" s="438">
        <v>5</v>
      </c>
      <c r="M72" s="115"/>
    </row>
    <row r="73" spans="1:13" outlineLevel="2">
      <c r="A73" s="363"/>
      <c r="B73" s="364"/>
      <c r="C73" s="151" t="str">
        <f t="shared" si="0"/>
        <v>Biocarburants</v>
      </c>
      <c r="D73" s="115"/>
      <c r="E73" s="200" t="s">
        <v>198</v>
      </c>
      <c r="F73" s="447">
        <v>0</v>
      </c>
      <c r="G73" s="438"/>
      <c r="H73" s="439"/>
      <c r="I73" s="438"/>
      <c r="J73" s="439"/>
      <c r="K73" s="438"/>
      <c r="L73" s="438">
        <v>0</v>
      </c>
      <c r="M73" s="115"/>
    </row>
    <row r="74" spans="1:13" outlineLevel="2">
      <c r="A74" s="363"/>
      <c r="B74" s="364"/>
      <c r="C74" s="151" t="str">
        <f t="shared" si="0"/>
        <v>Biomasse solide</v>
      </c>
      <c r="D74" s="115"/>
      <c r="E74" s="200" t="s">
        <v>197</v>
      </c>
      <c r="F74" s="447">
        <v>15</v>
      </c>
      <c r="G74" s="438"/>
      <c r="H74" s="439"/>
      <c r="I74" s="438"/>
      <c r="J74" s="439"/>
      <c r="K74" s="438"/>
      <c r="L74" s="438">
        <v>17</v>
      </c>
      <c r="M74" s="115"/>
    </row>
    <row r="75" spans="1:13" outlineLevel="2">
      <c r="A75" s="363"/>
      <c r="B75" s="364"/>
      <c r="C75" s="151" t="str">
        <f t="shared" ref="C75:C130" si="1">IF(ISBLANK(E75),IF(ISBLANK(F75),"",F75),E75)</f>
        <v>Eolien</v>
      </c>
      <c r="D75" s="115"/>
      <c r="E75" s="200" t="s">
        <v>950</v>
      </c>
      <c r="F75" s="447">
        <v>3</v>
      </c>
      <c r="G75" s="438"/>
      <c r="H75" s="439"/>
      <c r="I75" s="438"/>
      <c r="J75" s="439"/>
      <c r="K75" s="438"/>
      <c r="L75" s="438">
        <v>3</v>
      </c>
      <c r="M75" s="115"/>
    </row>
    <row r="76" spans="1:13" outlineLevel="2">
      <c r="A76" s="363"/>
      <c r="B76" s="364"/>
      <c r="C76" s="151" t="str">
        <f t="shared" si="1"/>
        <v>Hydraulique</v>
      </c>
      <c r="D76" s="115"/>
      <c r="E76" s="193" t="s">
        <v>513</v>
      </c>
      <c r="F76" s="447">
        <v>0</v>
      </c>
      <c r="G76" s="438"/>
      <c r="H76" s="439"/>
      <c r="I76" s="438"/>
      <c r="J76" s="439"/>
      <c r="K76" s="438"/>
      <c r="L76" s="438">
        <v>0</v>
      </c>
      <c r="M76" s="115"/>
    </row>
    <row r="77" spans="1:13" outlineLevel="2">
      <c r="A77" s="363"/>
      <c r="B77" s="364"/>
      <c r="C77" s="151" t="str">
        <f t="shared" si="1"/>
        <v>Gaz Renouvelable</v>
      </c>
      <c r="D77" s="115"/>
      <c r="E77" s="193" t="s">
        <v>951</v>
      </c>
      <c r="F77" s="447">
        <v>0</v>
      </c>
      <c r="G77" s="438"/>
      <c r="H77" s="439"/>
      <c r="I77" s="438"/>
      <c r="J77" s="439"/>
      <c r="K77" s="438"/>
      <c r="L77" s="438">
        <v>1</v>
      </c>
      <c r="M77" s="115"/>
    </row>
    <row r="78" spans="1:13" outlineLevel="2">
      <c r="A78" s="363"/>
      <c r="B78" s="364"/>
      <c r="C78" s="151" t="str">
        <f t="shared" si="1"/>
        <v/>
      </c>
      <c r="D78" s="115"/>
      <c r="E78" s="115"/>
      <c r="F78" s="115"/>
      <c r="G78" s="115"/>
      <c r="H78" s="115"/>
      <c r="I78" s="115"/>
      <c r="J78" s="115"/>
      <c r="K78" s="115"/>
      <c r="L78" s="115"/>
      <c r="M78" s="115"/>
    </row>
    <row r="79" spans="1:13" outlineLevel="1">
      <c r="A79" s="363"/>
      <c r="B79" s="364"/>
      <c r="C79" s="151"/>
      <c r="D79" s="115"/>
      <c r="E79" s="115"/>
      <c r="F79" s="115"/>
      <c r="G79" s="115"/>
      <c r="H79" s="115"/>
      <c r="I79" s="115"/>
      <c r="J79" s="115"/>
      <c r="K79" s="115"/>
      <c r="L79" s="115"/>
      <c r="M79" s="115"/>
    </row>
    <row r="80" spans="1:13" ht="15" outlineLevel="1" thickBot="1">
      <c r="A80" s="363"/>
      <c r="B80" s="364"/>
      <c r="C80" s="151" t="str">
        <f t="shared" si="1"/>
        <v>Evolution du mix électrique - Mayotte</v>
      </c>
      <c r="D80" s="115"/>
      <c r="E80" s="615" t="s">
        <v>954</v>
      </c>
      <c r="F80" s="615"/>
      <c r="G80" s="615"/>
      <c r="H80" s="615"/>
      <c r="I80" s="615"/>
      <c r="J80" s="615"/>
      <c r="K80" s="615"/>
      <c r="L80" s="615"/>
      <c r="M80" s="115"/>
    </row>
    <row r="81" spans="1:13" outlineLevel="2">
      <c r="A81" s="363"/>
      <c r="B81" s="364"/>
      <c r="C81" s="151" t="str">
        <f t="shared" si="1"/>
        <v>%</v>
      </c>
      <c r="D81" s="115"/>
      <c r="E81" s="200" t="s">
        <v>121</v>
      </c>
      <c r="F81" s="201" t="s">
        <v>313</v>
      </c>
      <c r="G81" s="201" t="s">
        <v>314</v>
      </c>
      <c r="H81" s="201" t="s">
        <v>125</v>
      </c>
      <c r="I81" s="201" t="s">
        <v>315</v>
      </c>
      <c r="J81" s="201" t="s">
        <v>316</v>
      </c>
      <c r="K81" s="201" t="s">
        <v>317</v>
      </c>
      <c r="L81" s="202" t="s">
        <v>133</v>
      </c>
      <c r="M81" s="115"/>
    </row>
    <row r="82" spans="1:13" outlineLevel="2">
      <c r="A82" s="363"/>
      <c r="B82" s="364"/>
      <c r="C82" s="151" t="str">
        <f t="shared" si="1"/>
        <v>Pétrole</v>
      </c>
      <c r="D82" s="115"/>
      <c r="E82" s="280" t="s">
        <v>284</v>
      </c>
      <c r="F82" s="446">
        <v>0</v>
      </c>
      <c r="G82" s="230"/>
      <c r="H82" s="230"/>
      <c r="I82" s="230"/>
      <c r="J82" s="230"/>
      <c r="K82" s="230"/>
      <c r="L82" s="230">
        <v>0</v>
      </c>
      <c r="M82" s="115"/>
    </row>
    <row r="83" spans="1:13" outlineLevel="2">
      <c r="A83" s="363"/>
      <c r="B83" s="364"/>
      <c r="C83" s="151" t="str">
        <f t="shared" si="1"/>
        <v>Charbon</v>
      </c>
      <c r="D83" s="115"/>
      <c r="E83" s="200" t="s">
        <v>185</v>
      </c>
      <c r="F83" s="447">
        <v>0</v>
      </c>
      <c r="G83" s="438"/>
      <c r="H83" s="439"/>
      <c r="I83" s="438"/>
      <c r="J83" s="439"/>
      <c r="K83" s="438"/>
      <c r="L83" s="438">
        <v>0</v>
      </c>
      <c r="M83" s="115"/>
    </row>
    <row r="84" spans="1:13" outlineLevel="2">
      <c r="A84" s="363"/>
      <c r="B84" s="364"/>
      <c r="C84" s="151" t="str">
        <f t="shared" si="1"/>
        <v>PPR</v>
      </c>
      <c r="D84" s="115"/>
      <c r="E84" s="200" t="s">
        <v>947</v>
      </c>
      <c r="F84" s="447">
        <v>96</v>
      </c>
      <c r="G84" s="438"/>
      <c r="H84" s="439"/>
      <c r="I84" s="438"/>
      <c r="J84" s="439"/>
      <c r="K84" s="438"/>
      <c r="L84" s="438">
        <v>51</v>
      </c>
      <c r="M84" s="115"/>
    </row>
    <row r="85" spans="1:13" outlineLevel="2">
      <c r="A85" s="363"/>
      <c r="B85" s="364"/>
      <c r="C85" s="151" t="str">
        <f t="shared" si="1"/>
        <v>Photovoltaïque</v>
      </c>
      <c r="D85" s="115"/>
      <c r="E85" s="200" t="s">
        <v>948</v>
      </c>
      <c r="F85" s="447">
        <v>4</v>
      </c>
      <c r="G85" s="438"/>
      <c r="H85" s="439"/>
      <c r="I85" s="438"/>
      <c r="J85" s="439"/>
      <c r="K85" s="438"/>
      <c r="L85" s="438">
        <v>13</v>
      </c>
      <c r="M85" s="115"/>
    </row>
    <row r="86" spans="1:13" outlineLevel="2">
      <c r="A86" s="363"/>
      <c r="B86" s="364"/>
      <c r="C86" s="151" t="str">
        <f t="shared" si="1"/>
        <v>Géothermie</v>
      </c>
      <c r="D86" s="115"/>
      <c r="E86" s="193" t="s">
        <v>949</v>
      </c>
      <c r="F86" s="447">
        <v>0</v>
      </c>
      <c r="G86" s="438"/>
      <c r="H86" s="439"/>
      <c r="I86" s="438"/>
      <c r="J86" s="439"/>
      <c r="K86" s="438"/>
      <c r="L86" s="438">
        <v>0</v>
      </c>
      <c r="M86" s="115"/>
    </row>
    <row r="87" spans="1:13" outlineLevel="2">
      <c r="A87" s="363"/>
      <c r="B87" s="364"/>
      <c r="C87" s="151" t="str">
        <f t="shared" si="1"/>
        <v>Déchets</v>
      </c>
      <c r="D87" s="115"/>
      <c r="E87" s="280" t="s">
        <v>24</v>
      </c>
      <c r="F87" s="447">
        <v>0</v>
      </c>
      <c r="G87" s="438"/>
      <c r="H87" s="439"/>
      <c r="I87" s="438"/>
      <c r="J87" s="439"/>
      <c r="K87" s="438"/>
      <c r="L87" s="438">
        <v>0</v>
      </c>
      <c r="M87" s="115"/>
    </row>
    <row r="88" spans="1:13" outlineLevel="2">
      <c r="A88" s="363"/>
      <c r="B88" s="364"/>
      <c r="C88" s="151" t="str">
        <f t="shared" si="1"/>
        <v>Biocarburants</v>
      </c>
      <c r="D88" s="115"/>
      <c r="E88" s="200" t="s">
        <v>198</v>
      </c>
      <c r="F88" s="447">
        <v>0</v>
      </c>
      <c r="G88" s="438"/>
      <c r="H88" s="439"/>
      <c r="I88" s="438"/>
      <c r="J88" s="439"/>
      <c r="K88" s="438"/>
      <c r="L88" s="438">
        <v>4</v>
      </c>
      <c r="M88" s="115"/>
    </row>
    <row r="89" spans="1:13" outlineLevel="2">
      <c r="A89" s="363"/>
      <c r="B89" s="364"/>
      <c r="C89" s="151" t="str">
        <f t="shared" si="1"/>
        <v>Biomasse solide</v>
      </c>
      <c r="D89" s="115"/>
      <c r="E89" s="200" t="s">
        <v>197</v>
      </c>
      <c r="F89" s="447">
        <v>0</v>
      </c>
      <c r="G89" s="438"/>
      <c r="H89" s="439"/>
      <c r="I89" s="438"/>
      <c r="J89" s="439"/>
      <c r="K89" s="438"/>
      <c r="L89" s="438">
        <v>23</v>
      </c>
      <c r="M89" s="115"/>
    </row>
    <row r="90" spans="1:13" outlineLevel="2">
      <c r="A90" s="363"/>
      <c r="B90" s="364"/>
      <c r="C90" s="151" t="str">
        <f t="shared" si="1"/>
        <v>Eolien</v>
      </c>
      <c r="D90" s="115"/>
      <c r="E90" s="200" t="s">
        <v>950</v>
      </c>
      <c r="F90" s="447">
        <v>0</v>
      </c>
      <c r="G90" s="438"/>
      <c r="H90" s="439"/>
      <c r="I90" s="438"/>
      <c r="J90" s="439"/>
      <c r="K90" s="438"/>
      <c r="L90" s="438">
        <v>5</v>
      </c>
      <c r="M90" s="115"/>
    </row>
    <row r="91" spans="1:13" outlineLevel="2">
      <c r="A91" s="363"/>
      <c r="B91" s="364"/>
      <c r="C91" s="151" t="str">
        <f t="shared" si="1"/>
        <v>Hydraulique</v>
      </c>
      <c r="D91" s="115"/>
      <c r="E91" s="193" t="s">
        <v>513</v>
      </c>
      <c r="F91" s="447">
        <v>0</v>
      </c>
      <c r="G91" s="438"/>
      <c r="H91" s="439"/>
      <c r="I91" s="438"/>
      <c r="J91" s="439"/>
      <c r="K91" s="438"/>
      <c r="L91" s="438">
        <v>4</v>
      </c>
      <c r="M91" s="115"/>
    </row>
    <row r="92" spans="1:13" outlineLevel="2">
      <c r="A92" s="363"/>
      <c r="B92" s="364"/>
      <c r="C92" s="151" t="str">
        <f t="shared" si="1"/>
        <v>Gaz Renouvelable</v>
      </c>
      <c r="D92" s="115"/>
      <c r="E92" s="193" t="s">
        <v>951</v>
      </c>
      <c r="F92" s="447">
        <v>0</v>
      </c>
      <c r="G92" s="438"/>
      <c r="H92" s="439"/>
      <c r="I92" s="438"/>
      <c r="J92" s="439"/>
      <c r="K92" s="438"/>
      <c r="L92" s="438">
        <v>0</v>
      </c>
      <c r="M92" s="115"/>
    </row>
    <row r="93" spans="1:13" outlineLevel="2">
      <c r="A93" s="363"/>
      <c r="B93" s="364"/>
      <c r="C93" s="151" t="str">
        <f t="shared" si="1"/>
        <v/>
      </c>
      <c r="D93" s="115"/>
      <c r="E93" s="115"/>
      <c r="F93" s="115"/>
      <c r="G93" s="115"/>
      <c r="H93" s="115"/>
      <c r="I93" s="115"/>
      <c r="J93" s="115"/>
      <c r="K93" s="115"/>
      <c r="L93" s="115"/>
      <c r="M93" s="115"/>
    </row>
    <row r="94" spans="1:13" outlineLevel="1">
      <c r="A94" s="363"/>
      <c r="B94" s="364"/>
      <c r="C94" s="151"/>
      <c r="D94" s="115"/>
      <c r="E94" s="115"/>
      <c r="F94" s="115"/>
      <c r="G94" s="115"/>
      <c r="H94" s="115"/>
      <c r="I94" s="115"/>
      <c r="J94" s="115"/>
      <c r="K94" s="115"/>
      <c r="L94" s="115"/>
      <c r="M94" s="115"/>
    </row>
    <row r="95" spans="1:13" ht="15" outlineLevel="1" thickBot="1">
      <c r="A95" s="363"/>
      <c r="B95" s="364"/>
      <c r="C95" s="151" t="str">
        <f t="shared" si="1"/>
        <v>Evolution du mix électrique - Réunion</v>
      </c>
      <c r="D95" s="115"/>
      <c r="E95" s="615" t="s">
        <v>955</v>
      </c>
      <c r="F95" s="615"/>
      <c r="G95" s="615"/>
      <c r="H95" s="615"/>
      <c r="I95" s="615"/>
      <c r="J95" s="615"/>
      <c r="K95" s="615"/>
      <c r="L95" s="615"/>
      <c r="M95" s="115"/>
    </row>
    <row r="96" spans="1:13" outlineLevel="2">
      <c r="A96" s="363"/>
      <c r="B96" s="364"/>
      <c r="C96" s="151" t="str">
        <f t="shared" si="1"/>
        <v>%</v>
      </c>
      <c r="D96" s="115"/>
      <c r="E96" s="200" t="s">
        <v>121</v>
      </c>
      <c r="F96" s="201" t="s">
        <v>313</v>
      </c>
      <c r="G96" s="201" t="s">
        <v>314</v>
      </c>
      <c r="H96" s="201" t="s">
        <v>125</v>
      </c>
      <c r="I96" s="201" t="s">
        <v>315</v>
      </c>
      <c r="J96" s="201" t="s">
        <v>316</v>
      </c>
      <c r="K96" s="201" t="s">
        <v>317</v>
      </c>
      <c r="L96" s="202" t="s">
        <v>133</v>
      </c>
      <c r="M96" s="115"/>
    </row>
    <row r="97" spans="1:13" outlineLevel="2">
      <c r="A97" s="363"/>
      <c r="B97" s="364"/>
      <c r="C97" s="151" t="str">
        <f t="shared" si="1"/>
        <v>Pétrole</v>
      </c>
      <c r="D97" s="115"/>
      <c r="E97" s="280" t="s">
        <v>284</v>
      </c>
      <c r="F97" s="446">
        <v>0</v>
      </c>
      <c r="G97" s="230"/>
      <c r="H97" s="230"/>
      <c r="I97" s="230"/>
      <c r="J97" s="230"/>
      <c r="K97" s="230"/>
      <c r="L97" s="230">
        <v>0</v>
      </c>
      <c r="M97" s="115"/>
    </row>
    <row r="98" spans="1:13" outlineLevel="2">
      <c r="A98" s="363"/>
      <c r="B98" s="364"/>
      <c r="C98" s="151" t="str">
        <f t="shared" si="1"/>
        <v>Charbon</v>
      </c>
      <c r="D98" s="115"/>
      <c r="E98" s="200" t="s">
        <v>185</v>
      </c>
      <c r="F98" s="447">
        <v>30</v>
      </c>
      <c r="G98" s="438"/>
      <c r="H98" s="439"/>
      <c r="I98" s="438"/>
      <c r="J98" s="439"/>
      <c r="K98" s="438"/>
      <c r="L98" s="438">
        <v>0</v>
      </c>
      <c r="M98" s="115"/>
    </row>
    <row r="99" spans="1:13" outlineLevel="2">
      <c r="A99" s="363"/>
      <c r="B99" s="364"/>
      <c r="C99" s="151" t="str">
        <f t="shared" si="1"/>
        <v>PPR</v>
      </c>
      <c r="D99" s="115"/>
      <c r="E99" s="200" t="s">
        <v>947</v>
      </c>
      <c r="F99" s="447">
        <v>42</v>
      </c>
      <c r="G99" s="438"/>
      <c r="H99" s="439"/>
      <c r="I99" s="438"/>
      <c r="J99" s="439"/>
      <c r="K99" s="438"/>
      <c r="L99" s="438">
        <v>0</v>
      </c>
      <c r="M99" s="115"/>
    </row>
    <row r="100" spans="1:13" outlineLevel="2">
      <c r="A100" s="363"/>
      <c r="B100" s="364"/>
      <c r="C100" s="151" t="str">
        <f t="shared" si="1"/>
        <v>Photovoltaïque</v>
      </c>
      <c r="D100" s="115"/>
      <c r="E100" s="200" t="s">
        <v>948</v>
      </c>
      <c r="F100" s="447">
        <v>9</v>
      </c>
      <c r="G100" s="438"/>
      <c r="H100" s="439"/>
      <c r="I100" s="438"/>
      <c r="J100" s="439"/>
      <c r="K100" s="438"/>
      <c r="L100" s="438">
        <v>18</v>
      </c>
      <c r="M100" s="115"/>
    </row>
    <row r="101" spans="1:13" outlineLevel="2">
      <c r="A101" s="363"/>
      <c r="B101" s="364"/>
      <c r="C101" s="151" t="str">
        <f t="shared" si="1"/>
        <v>Géothermie</v>
      </c>
      <c r="D101" s="115"/>
      <c r="E101" s="193" t="s">
        <v>949</v>
      </c>
      <c r="F101" s="447">
        <v>0</v>
      </c>
      <c r="G101" s="438"/>
      <c r="H101" s="439"/>
      <c r="I101" s="438"/>
      <c r="J101" s="439"/>
      <c r="K101" s="438"/>
      <c r="L101" s="438">
        <v>0</v>
      </c>
      <c r="M101" s="115"/>
    </row>
    <row r="102" spans="1:13" outlineLevel="2">
      <c r="A102" s="363"/>
      <c r="B102" s="364"/>
      <c r="C102" s="151" t="str">
        <f t="shared" si="1"/>
        <v>Déchets</v>
      </c>
      <c r="D102" s="115"/>
      <c r="E102" s="280" t="s">
        <v>24</v>
      </c>
      <c r="F102" s="447">
        <v>0</v>
      </c>
      <c r="G102" s="438"/>
      <c r="H102" s="439"/>
      <c r="I102" s="438"/>
      <c r="J102" s="439"/>
      <c r="K102" s="438"/>
      <c r="L102" s="438">
        <v>4</v>
      </c>
      <c r="M102" s="115"/>
    </row>
    <row r="103" spans="1:13" outlineLevel="2">
      <c r="A103" s="363"/>
      <c r="B103" s="364"/>
      <c r="C103" s="151" t="str">
        <f t="shared" si="1"/>
        <v>Biocarburants</v>
      </c>
      <c r="D103" s="115"/>
      <c r="E103" s="200" t="s">
        <v>198</v>
      </c>
      <c r="F103" s="447">
        <v>0</v>
      </c>
      <c r="G103" s="438"/>
      <c r="H103" s="439"/>
      <c r="I103" s="438"/>
      <c r="J103" s="439"/>
      <c r="K103" s="438"/>
      <c r="L103" s="438">
        <v>20</v>
      </c>
      <c r="M103" s="115"/>
    </row>
    <row r="104" spans="1:13" outlineLevel="2">
      <c r="A104" s="363"/>
      <c r="B104" s="364"/>
      <c r="C104" s="151" t="str">
        <f t="shared" si="1"/>
        <v>Biomasse solide</v>
      </c>
      <c r="D104" s="115"/>
      <c r="E104" s="200" t="s">
        <v>197</v>
      </c>
      <c r="F104" s="447">
        <v>7</v>
      </c>
      <c r="G104" s="438"/>
      <c r="H104" s="439"/>
      <c r="I104" s="438"/>
      <c r="J104" s="439"/>
      <c r="K104" s="438"/>
      <c r="L104" s="438">
        <v>44</v>
      </c>
      <c r="M104" s="115"/>
    </row>
    <row r="105" spans="1:13" outlineLevel="2">
      <c r="A105" s="363"/>
      <c r="B105" s="364"/>
      <c r="C105" s="151" t="str">
        <f t="shared" si="1"/>
        <v>Eolien</v>
      </c>
      <c r="D105" s="115"/>
      <c r="E105" s="200" t="s">
        <v>950</v>
      </c>
      <c r="F105" s="447">
        <v>0</v>
      </c>
      <c r="G105" s="438"/>
      <c r="H105" s="439"/>
      <c r="I105" s="438"/>
      <c r="J105" s="439"/>
      <c r="K105" s="438"/>
      <c r="L105" s="438">
        <v>4</v>
      </c>
      <c r="M105" s="115"/>
    </row>
    <row r="106" spans="1:13" outlineLevel="2">
      <c r="A106" s="363"/>
      <c r="B106" s="364"/>
      <c r="C106" s="151" t="str">
        <f t="shared" si="1"/>
        <v>Hydraulique</v>
      </c>
      <c r="D106" s="115"/>
      <c r="E106" s="193" t="s">
        <v>513</v>
      </c>
      <c r="F106" s="447">
        <v>12</v>
      </c>
      <c r="G106" s="438"/>
      <c r="H106" s="439"/>
      <c r="I106" s="438"/>
      <c r="J106" s="439"/>
      <c r="K106" s="438"/>
      <c r="L106" s="438">
        <v>9</v>
      </c>
      <c r="M106" s="115"/>
    </row>
    <row r="107" spans="1:13" outlineLevel="2">
      <c r="A107" s="363"/>
      <c r="B107" s="364"/>
      <c r="C107" s="151" t="str">
        <f t="shared" si="1"/>
        <v>Gaz Renouvelable</v>
      </c>
      <c r="D107" s="115"/>
      <c r="E107" s="193" t="s">
        <v>951</v>
      </c>
      <c r="F107" s="447">
        <v>1</v>
      </c>
      <c r="G107" s="438"/>
      <c r="H107" s="439"/>
      <c r="I107" s="438"/>
      <c r="J107" s="439"/>
      <c r="K107" s="438"/>
      <c r="L107" s="438">
        <v>1</v>
      </c>
      <c r="M107" s="115"/>
    </row>
    <row r="108" spans="1:13" outlineLevel="2">
      <c r="A108" s="363"/>
      <c r="B108" s="364"/>
      <c r="C108" s="151" t="str">
        <f t="shared" si="1"/>
        <v/>
      </c>
      <c r="D108" s="115"/>
      <c r="E108" s="115"/>
      <c r="F108" s="115"/>
      <c r="G108" s="115"/>
      <c r="H108" s="115"/>
      <c r="I108" s="115"/>
      <c r="J108" s="115"/>
      <c r="K108" s="115"/>
      <c r="L108" s="115"/>
      <c r="M108" s="115"/>
    </row>
    <row r="109" spans="1:13" outlineLevel="1">
      <c r="A109" s="363"/>
      <c r="B109" s="364"/>
      <c r="C109" s="151"/>
      <c r="D109" s="115"/>
      <c r="E109" s="115"/>
      <c r="F109" s="115"/>
      <c r="G109" s="115"/>
      <c r="H109" s="115"/>
      <c r="I109" s="115"/>
      <c r="J109" s="115"/>
      <c r="K109" s="115"/>
      <c r="L109" s="115"/>
      <c r="M109" s="115"/>
    </row>
    <row r="110" spans="1:13" ht="15" outlineLevel="1" thickBot="1">
      <c r="A110" s="363"/>
      <c r="B110" s="364"/>
      <c r="C110" s="151" t="str">
        <f t="shared" si="1"/>
        <v>Evolution de la demande électrique</v>
      </c>
      <c r="D110" s="115"/>
      <c r="E110" s="627" t="s">
        <v>956</v>
      </c>
      <c r="F110" s="627"/>
      <c r="G110" s="627"/>
      <c r="H110" s="627"/>
      <c r="I110" s="627"/>
      <c r="J110" s="627"/>
      <c r="K110" s="627"/>
      <c r="L110" s="627"/>
      <c r="M110" s="115"/>
    </row>
    <row r="111" spans="1:13" outlineLevel="2">
      <c r="A111" s="363"/>
      <c r="B111" s="364"/>
      <c r="C111" s="151" t="str">
        <f t="shared" si="1"/>
        <v>MWh</v>
      </c>
      <c r="D111" s="115"/>
      <c r="E111" s="413" t="s">
        <v>957</v>
      </c>
      <c r="F111" s="414" t="s">
        <v>313</v>
      </c>
      <c r="G111" s="414" t="s">
        <v>314</v>
      </c>
      <c r="H111" s="414" t="s">
        <v>125</v>
      </c>
      <c r="I111" s="414" t="s">
        <v>315</v>
      </c>
      <c r="J111" s="414" t="s">
        <v>316</v>
      </c>
      <c r="K111" s="414" t="s">
        <v>317</v>
      </c>
      <c r="L111" s="415" t="s">
        <v>133</v>
      </c>
      <c r="M111" s="115"/>
    </row>
    <row r="112" spans="1:13" outlineLevel="2">
      <c r="A112" s="363"/>
      <c r="B112" s="364"/>
      <c r="C112" s="151" t="str">
        <f t="shared" si="1"/>
        <v>Guadeloupe</v>
      </c>
      <c r="D112" s="115"/>
      <c r="E112" s="218" t="s">
        <v>772</v>
      </c>
      <c r="F112" s="214">
        <v>1807.15138742</v>
      </c>
      <c r="G112" s="230">
        <v>1592.4627162456291</v>
      </c>
      <c r="H112" s="230">
        <v>1614.5948604797916</v>
      </c>
      <c r="I112" s="230">
        <v>1754.2908281946861</v>
      </c>
      <c r="J112" s="230">
        <v>1920.6251209896061</v>
      </c>
      <c r="K112" s="230">
        <v>2006.5845616154568</v>
      </c>
      <c r="L112" s="448">
        <v>2022.4932171787973</v>
      </c>
      <c r="M112" s="115"/>
    </row>
    <row r="113" spans="1:13" outlineLevel="2">
      <c r="A113" s="363"/>
      <c r="B113" s="364"/>
      <c r="C113" s="151" t="str">
        <f t="shared" si="1"/>
        <v>Martinique</v>
      </c>
      <c r="D113" s="115"/>
      <c r="E113" s="449" t="s">
        <v>771</v>
      </c>
      <c r="F113" s="437">
        <v>1638.27624664</v>
      </c>
      <c r="G113" s="438">
        <v>1368.0088185655191</v>
      </c>
      <c r="H113" s="439">
        <v>1374.4687998992665</v>
      </c>
      <c r="I113" s="438">
        <v>1513.0358673670969</v>
      </c>
      <c r="J113" s="439">
        <v>1659.8784544193124</v>
      </c>
      <c r="K113" s="438">
        <v>1751.952487347306</v>
      </c>
      <c r="L113" s="450">
        <v>1786.8009993760204</v>
      </c>
      <c r="M113" s="115"/>
    </row>
    <row r="114" spans="1:13" outlineLevel="2">
      <c r="A114" s="363"/>
      <c r="B114" s="364"/>
      <c r="C114" s="151" t="str">
        <f t="shared" si="1"/>
        <v>Guyane</v>
      </c>
      <c r="D114" s="115"/>
      <c r="E114" s="449" t="s">
        <v>773</v>
      </c>
      <c r="F114" s="437">
        <v>905.54299986000001</v>
      </c>
      <c r="G114" s="438">
        <v>1079.7054193529295</v>
      </c>
      <c r="H114" s="439">
        <v>1190.4406599857537</v>
      </c>
      <c r="I114" s="438">
        <v>1406.7727354305321</v>
      </c>
      <c r="J114" s="439">
        <v>1669.821867871821</v>
      </c>
      <c r="K114" s="438">
        <v>1932.0755037941155</v>
      </c>
      <c r="L114" s="450">
        <v>2161.4465219030449</v>
      </c>
      <c r="M114" s="115"/>
    </row>
    <row r="115" spans="1:13" outlineLevel="2">
      <c r="A115" s="363"/>
      <c r="B115" s="364"/>
      <c r="C115" s="151" t="str">
        <f t="shared" si="1"/>
        <v>Mayotte</v>
      </c>
      <c r="D115" s="115"/>
      <c r="E115" s="449" t="s">
        <v>774</v>
      </c>
      <c r="F115" s="437">
        <v>456.30908701999999</v>
      </c>
      <c r="G115" s="438">
        <v>484.16920941174891</v>
      </c>
      <c r="H115" s="439">
        <v>623.38442423926415</v>
      </c>
      <c r="I115" s="438">
        <v>803.06173867587734</v>
      </c>
      <c r="J115" s="439">
        <v>1041.5827818508242</v>
      </c>
      <c r="K115" s="438">
        <v>1295.6493942659006</v>
      </c>
      <c r="L115" s="450">
        <v>1527.7962743524188</v>
      </c>
      <c r="M115" s="115"/>
    </row>
    <row r="116" spans="1:13" ht="15" outlineLevel="2" thickBot="1">
      <c r="A116" s="363"/>
      <c r="B116" s="364"/>
      <c r="C116" s="151" t="str">
        <f t="shared" si="1"/>
        <v>Réunion</v>
      </c>
      <c r="D116" s="115"/>
      <c r="E116" s="332" t="s">
        <v>942</v>
      </c>
      <c r="F116" s="451">
        <v>3178.5221286735</v>
      </c>
      <c r="G116" s="452">
        <v>3111.7483777947177</v>
      </c>
      <c r="H116" s="453">
        <v>3388.2030530373731</v>
      </c>
      <c r="I116" s="452">
        <v>3963.201694396229</v>
      </c>
      <c r="J116" s="453">
        <v>4643.8420782525063</v>
      </c>
      <c r="K116" s="452">
        <v>5281.7703410116101</v>
      </c>
      <c r="L116" s="454">
        <v>5759.9080588417592</v>
      </c>
      <c r="M116" s="115"/>
    </row>
    <row r="117" spans="1:13" outlineLevel="2">
      <c r="A117" s="363"/>
      <c r="B117" s="364"/>
      <c r="C117" s="151" t="str">
        <f t="shared" si="1"/>
        <v>Sources: SDES, bilans de l'énergie DROM, 2023</v>
      </c>
      <c r="D117" s="115"/>
      <c r="E117" s="652" t="s">
        <v>958</v>
      </c>
      <c r="F117" s="652"/>
      <c r="G117" s="652"/>
      <c r="H117" s="652"/>
      <c r="I117" s="652"/>
      <c r="J117" s="652"/>
      <c r="K117" s="652"/>
      <c r="L117" s="652"/>
      <c r="M117" s="115"/>
    </row>
    <row r="118" spans="1:13" outlineLevel="1">
      <c r="A118" s="363"/>
      <c r="B118" s="364"/>
      <c r="C118" s="151" t="str">
        <f t="shared" si="1"/>
        <v/>
      </c>
      <c r="D118" s="115"/>
      <c r="E118" s="115"/>
      <c r="F118" s="115"/>
      <c r="G118" s="115"/>
      <c r="H118" s="115"/>
      <c r="I118" s="115"/>
      <c r="J118" s="115"/>
      <c r="K118" s="115"/>
      <c r="L118" s="115"/>
      <c r="M118" s="115"/>
    </row>
    <row r="119" spans="1:13" outlineLevel="1">
      <c r="A119" s="363"/>
      <c r="B119" s="364"/>
      <c r="C119" s="151" t="str">
        <f t="shared" si="1"/>
        <v/>
      </c>
      <c r="D119" s="115"/>
      <c r="E119" s="115"/>
      <c r="F119" s="115"/>
      <c r="G119" s="115"/>
      <c r="H119" s="115"/>
      <c r="I119" s="115"/>
      <c r="J119" s="115"/>
      <c r="K119" s="115"/>
      <c r="L119" s="115"/>
      <c r="M119" s="115"/>
    </row>
    <row r="120" spans="1:13" outlineLevel="1">
      <c r="A120" s="363"/>
      <c r="B120" s="364"/>
      <c r="C120" s="151" t="str">
        <f t="shared" si="1"/>
        <v/>
      </c>
      <c r="D120" s="115"/>
      <c r="E120" s="115"/>
      <c r="F120" s="115"/>
      <c r="G120" s="115"/>
      <c r="H120" s="115"/>
      <c r="I120" s="115"/>
      <c r="J120" s="115"/>
      <c r="K120" s="115"/>
      <c r="L120" s="115"/>
      <c r="M120" s="115"/>
    </row>
    <row r="121" spans="1:13">
      <c r="A121" s="400"/>
      <c r="C121" s="151" t="str">
        <f t="shared" si="1"/>
        <v/>
      </c>
      <c r="D121" s="629"/>
      <c r="E121" s="629"/>
      <c r="F121" s="629"/>
      <c r="G121" s="629"/>
      <c r="H121" s="404"/>
      <c r="I121" s="404"/>
      <c r="J121" s="404"/>
    </row>
    <row r="122" spans="1:13" ht="28.8" thickBot="1">
      <c r="A122" s="366"/>
      <c r="C122" s="151" t="str">
        <f t="shared" si="1"/>
        <v>Résultats</v>
      </c>
      <c r="D122" s="371"/>
      <c r="E122" s="635" t="s">
        <v>137</v>
      </c>
      <c r="F122" s="635"/>
      <c r="G122" s="635"/>
      <c r="H122" s="635"/>
      <c r="I122" s="635"/>
      <c r="J122" s="635"/>
      <c r="K122" s="635"/>
      <c r="L122" s="635"/>
      <c r="M122" s="371"/>
    </row>
    <row r="123" spans="1:13" ht="15" thickTop="1">
      <c r="A123" s="366"/>
      <c r="C123" s="151" t="str">
        <f t="shared" si="1"/>
        <v/>
      </c>
      <c r="D123" s="3"/>
      <c r="E123" s="3"/>
      <c r="F123" s="3"/>
      <c r="G123" s="3"/>
      <c r="H123" s="3"/>
      <c r="I123" s="3"/>
      <c r="J123" s="3"/>
      <c r="K123" s="3"/>
      <c r="L123" s="3"/>
      <c r="M123" s="3"/>
    </row>
    <row r="124" spans="1:13" ht="15.6">
      <c r="A124" s="366"/>
      <c r="C124" s="151" t="str">
        <f t="shared" si="1"/>
        <v/>
      </c>
      <c r="D124" s="112"/>
      <c r="E124" s="113"/>
      <c r="F124" s="113"/>
      <c r="G124" s="113"/>
      <c r="H124" s="113"/>
      <c r="I124" s="113"/>
      <c r="J124" s="113"/>
      <c r="K124" s="113"/>
      <c r="L124" s="113"/>
      <c r="M124" s="3"/>
    </row>
    <row r="125" spans="1:13" ht="28.8" thickBot="1">
      <c r="A125" s="366"/>
      <c r="B125" s="367"/>
      <c r="C125" s="151" t="str">
        <f t="shared" si="1"/>
        <v>Emissions de gaz à effet de serre</v>
      </c>
      <c r="D125" s="371"/>
      <c r="E125" s="372"/>
      <c r="F125" s="635" t="s">
        <v>142</v>
      </c>
      <c r="G125" s="635"/>
      <c r="H125" s="635"/>
      <c r="I125" s="635"/>
      <c r="J125" s="635"/>
      <c r="K125" s="635"/>
      <c r="L125" s="635"/>
      <c r="M125" s="635"/>
    </row>
    <row r="126" spans="1:13" ht="15" thickTop="1">
      <c r="A126" s="366"/>
      <c r="B126" s="367"/>
      <c r="C126" s="151" t="str">
        <f t="shared" si="1"/>
        <v/>
      </c>
    </row>
    <row r="127" spans="1:13" outlineLevel="1">
      <c r="A127" s="127"/>
      <c r="C127" s="151" t="str">
        <f t="shared" si="1"/>
        <v/>
      </c>
      <c r="D127" s="115"/>
      <c r="E127" s="115"/>
      <c r="F127" s="115"/>
      <c r="G127" s="115"/>
      <c r="H127" s="115"/>
      <c r="I127" s="115"/>
      <c r="J127" s="115"/>
      <c r="K127" s="115"/>
      <c r="L127" s="115"/>
      <c r="M127" s="115"/>
    </row>
    <row r="128" spans="1:13" ht="15" outlineLevel="1" thickBot="1">
      <c r="A128" s="127"/>
      <c r="C128" s="151" t="str">
        <f t="shared" si="1"/>
        <v>Emissions des DROM</v>
      </c>
      <c r="D128" s="115"/>
      <c r="E128" s="627" t="s">
        <v>959</v>
      </c>
      <c r="F128" s="627"/>
      <c r="G128" s="627"/>
      <c r="H128" s="627"/>
      <c r="I128" s="627"/>
      <c r="J128" s="627"/>
      <c r="K128" s="627"/>
      <c r="L128" s="627"/>
      <c r="M128" s="115"/>
    </row>
    <row r="129" spans="1:13" outlineLevel="1">
      <c r="A129" s="127"/>
      <c r="C129" s="151" t="str">
        <f t="shared" si="1"/>
        <v>MtCO2e</v>
      </c>
      <c r="D129" s="115"/>
      <c r="E129" s="348" t="s">
        <v>302</v>
      </c>
      <c r="F129" s="349">
        <v>2020</v>
      </c>
      <c r="G129" s="349">
        <v>2025</v>
      </c>
      <c r="H129" s="349">
        <v>2030</v>
      </c>
      <c r="I129" s="349">
        <v>2035</v>
      </c>
      <c r="J129" s="349">
        <v>2040</v>
      </c>
      <c r="K129" s="349">
        <v>2045</v>
      </c>
      <c r="L129" s="350">
        <v>2050</v>
      </c>
      <c r="M129" s="115"/>
    </row>
    <row r="130" spans="1:13" outlineLevel="1">
      <c r="A130" s="127"/>
      <c r="C130" s="151" t="str">
        <f t="shared" si="1"/>
        <v>Total (hors UTCATF)</v>
      </c>
      <c r="D130" s="115"/>
      <c r="E130" s="351" t="s">
        <v>960</v>
      </c>
      <c r="F130" s="352">
        <f>SUM(F131:F136)</f>
        <v>11.96674171354606</v>
      </c>
      <c r="G130" s="352">
        <f t="shared" ref="G130:L130" si="2">SUM(G131:G136)</f>
        <v>9.0519951017648648</v>
      </c>
      <c r="H130" s="352">
        <f t="shared" si="2"/>
        <v>8.5031748352803209</v>
      </c>
      <c r="I130" s="352">
        <f t="shared" si="2"/>
        <v>8.3041641540691895</v>
      </c>
      <c r="J130" s="352">
        <f t="shared" si="2"/>
        <v>7.9562520675090553</v>
      </c>
      <c r="K130" s="352">
        <f t="shared" si="2"/>
        <v>7.9169694868824534</v>
      </c>
      <c r="L130" s="352">
        <f t="shared" si="2"/>
        <v>7.8645451869984235</v>
      </c>
      <c r="M130" s="115"/>
    </row>
    <row r="131" spans="1:13" outlineLevel="1">
      <c r="A131" s="127"/>
      <c r="C131" s="151"/>
      <c r="D131" s="115"/>
      <c r="E131" s="353" t="s">
        <v>35</v>
      </c>
      <c r="F131" s="354">
        <v>4.8287281917420799</v>
      </c>
      <c r="G131" s="354">
        <v>1.6626225748184531</v>
      </c>
      <c r="H131" s="354">
        <v>1.4525498604661777</v>
      </c>
      <c r="I131" s="354">
        <v>1.5677032770612129</v>
      </c>
      <c r="J131" s="354">
        <v>1.4467182476845259</v>
      </c>
      <c r="K131" s="354">
        <v>1.553939234542927</v>
      </c>
      <c r="L131" s="455">
        <v>1.5892658209933046</v>
      </c>
      <c r="M131" s="115"/>
    </row>
    <row r="132" spans="1:13" outlineLevel="1">
      <c r="A132" s="127"/>
      <c r="C132" s="151"/>
      <c r="D132" s="115"/>
      <c r="E132" s="353" t="s">
        <v>36</v>
      </c>
      <c r="F132" s="354">
        <v>0.31094703616362551</v>
      </c>
      <c r="G132" s="354">
        <v>0.2854059378683047</v>
      </c>
      <c r="H132" s="354">
        <v>0.30495085465452121</v>
      </c>
      <c r="I132" s="354">
        <v>0.31551734575852919</v>
      </c>
      <c r="J132" s="354">
        <v>0.31684864263579016</v>
      </c>
      <c r="K132" s="354">
        <v>0.31736687298270283</v>
      </c>
      <c r="L132" s="455">
        <v>0.31728901894301487</v>
      </c>
      <c r="M132" s="115"/>
    </row>
    <row r="133" spans="1:13" outlineLevel="1">
      <c r="A133" s="127"/>
      <c r="C133" s="151"/>
      <c r="D133" s="115"/>
      <c r="E133" s="355" t="s">
        <v>37</v>
      </c>
      <c r="F133" s="354">
        <v>1.1403863159416652</v>
      </c>
      <c r="G133" s="354">
        <v>1.2309992528292799</v>
      </c>
      <c r="H133" s="354">
        <v>1.2940440097040966</v>
      </c>
      <c r="I133" s="354">
        <v>1.324606234799047</v>
      </c>
      <c r="J133" s="354">
        <v>1.3266686135433723</v>
      </c>
      <c r="K133" s="354">
        <v>1.310377946602066</v>
      </c>
      <c r="L133" s="455">
        <v>1.2822460071371147</v>
      </c>
      <c r="M133" s="115"/>
    </row>
    <row r="134" spans="1:13" outlineLevel="1">
      <c r="A134" s="127"/>
      <c r="C134" s="151"/>
      <c r="D134" s="115"/>
      <c r="E134" s="355" t="s">
        <v>38</v>
      </c>
      <c r="F134" s="354">
        <v>0.79538504186966463</v>
      </c>
      <c r="G134" s="354">
        <v>0.77530327724620207</v>
      </c>
      <c r="H134" s="354">
        <v>0.6958641385044757</v>
      </c>
      <c r="I134" s="354">
        <v>0.63499236268150128</v>
      </c>
      <c r="J134" s="354">
        <v>0.65116254840012999</v>
      </c>
      <c r="K134" s="354">
        <v>0.66117770885333726</v>
      </c>
      <c r="L134" s="455">
        <v>0.67139196035121529</v>
      </c>
      <c r="M134" s="115"/>
    </row>
    <row r="135" spans="1:13" outlineLevel="1">
      <c r="A135" s="127"/>
      <c r="C135" s="151"/>
      <c r="D135" s="115"/>
      <c r="E135" s="355" t="s">
        <v>118</v>
      </c>
      <c r="F135" s="354">
        <v>0.50967140601034089</v>
      </c>
      <c r="G135" s="354">
        <v>0.5030011313004934</v>
      </c>
      <c r="H135" s="354">
        <v>0.50719254380064172</v>
      </c>
      <c r="I135" s="354">
        <v>0.50879609049042074</v>
      </c>
      <c r="J135" s="354">
        <v>0.50974322232713121</v>
      </c>
      <c r="K135" s="354">
        <v>0.51067090649517866</v>
      </c>
      <c r="L135" s="455">
        <v>0.51157851984440583</v>
      </c>
      <c r="M135" s="115"/>
    </row>
    <row r="136" spans="1:13" ht="15" outlineLevel="1" thickBot="1">
      <c r="A136" s="127"/>
      <c r="C136" s="151"/>
      <c r="D136" s="115"/>
      <c r="E136" s="456" t="s">
        <v>40</v>
      </c>
      <c r="F136" s="457">
        <v>4.3816237218186842</v>
      </c>
      <c r="G136" s="457">
        <v>4.5946629277021316</v>
      </c>
      <c r="H136" s="457">
        <v>4.2485734281504079</v>
      </c>
      <c r="I136" s="457">
        <v>3.9525488432784783</v>
      </c>
      <c r="J136" s="457">
        <v>3.7051107929181057</v>
      </c>
      <c r="K136" s="457">
        <v>3.5634368174062416</v>
      </c>
      <c r="L136" s="458">
        <v>3.4927738597293683</v>
      </c>
      <c r="M136" s="115"/>
    </row>
    <row r="137" spans="1:13" ht="15" outlineLevel="1" thickBot="1">
      <c r="A137" s="127"/>
      <c r="C137" s="151"/>
      <c r="D137" s="115"/>
      <c r="E137" s="456" t="s">
        <v>43</v>
      </c>
      <c r="F137" s="457">
        <v>3.384870275229579</v>
      </c>
      <c r="G137" s="457">
        <v>3.887391904087707</v>
      </c>
      <c r="H137" s="457">
        <v>3.877358570754371</v>
      </c>
      <c r="I137" s="457">
        <v>3.8773585707543745</v>
      </c>
      <c r="J137" s="457">
        <v>3.8773585707543745</v>
      </c>
      <c r="K137" s="457">
        <v>3.877358570754371</v>
      </c>
      <c r="L137" s="458">
        <v>3.8773585707543727</v>
      </c>
      <c r="M137" s="115"/>
    </row>
    <row r="138" spans="1:13" outlineLevel="1">
      <c r="A138" s="127"/>
      <c r="C138" s="151"/>
      <c r="D138" s="115"/>
      <c r="E138" s="610" t="s">
        <v>975</v>
      </c>
      <c r="F138" s="610"/>
      <c r="G138" s="610"/>
      <c r="H138" s="610"/>
      <c r="I138" s="610"/>
      <c r="J138" s="610"/>
      <c r="K138" s="610"/>
      <c r="L138" s="610"/>
      <c r="M138" s="115"/>
    </row>
    <row r="139" spans="1:13" outlineLevel="4">
      <c r="A139" s="127"/>
      <c r="C139" s="151"/>
      <c r="D139" s="115"/>
      <c r="E139" s="405"/>
      <c r="F139" s="405"/>
      <c r="G139" s="405"/>
      <c r="H139" s="405"/>
      <c r="I139" s="405"/>
      <c r="J139" s="405"/>
      <c r="K139" s="405"/>
      <c r="L139" s="405"/>
      <c r="M139" s="115"/>
    </row>
    <row r="140" spans="1:13" outlineLevel="4">
      <c r="A140" s="127"/>
      <c r="C140" s="151" t="str">
        <f>IF(ISBLANK(E140),IF(ISBLANK(F140),"",F140),E140)</f>
        <v/>
      </c>
      <c r="D140" s="115"/>
      <c r="E140" s="610"/>
      <c r="F140" s="610"/>
      <c r="G140" s="610"/>
      <c r="H140" s="610"/>
      <c r="I140" s="610"/>
      <c r="J140" s="610"/>
      <c r="K140" s="610"/>
      <c r="L140" s="610"/>
      <c r="M140" s="115"/>
    </row>
    <row r="141" spans="1:13">
      <c r="A141" s="151" t="str">
        <f t="shared" ref="A141:C142" si="3">IF(ISBLANK(C141),IF(ISBLANK(D141),"",D141),C141)</f>
        <v/>
      </c>
      <c r="C141" s="151" t="str">
        <f t="shared" si="3"/>
        <v/>
      </c>
      <c r="D141" s="649"/>
      <c r="E141" s="649"/>
      <c r="F141" s="649"/>
    </row>
    <row r="142" spans="1:13">
      <c r="C142" s="151" t="str">
        <f t="shared" si="3"/>
        <v/>
      </c>
    </row>
  </sheetData>
  <mergeCells count="33">
    <mergeCell ref="E1:M1"/>
    <mergeCell ref="E3:I3"/>
    <mergeCell ref="J3:M3"/>
    <mergeCell ref="O3:Q3"/>
    <mergeCell ref="R3:T3"/>
    <mergeCell ref="D141:F141"/>
    <mergeCell ref="E35:L35"/>
    <mergeCell ref="E50:L50"/>
    <mergeCell ref="E65:L65"/>
    <mergeCell ref="E80:L80"/>
    <mergeCell ref="E95:L95"/>
    <mergeCell ref="E110:L110"/>
    <mergeCell ref="E117:L117"/>
    <mergeCell ref="D121:G121"/>
    <mergeCell ref="E122:L122"/>
    <mergeCell ref="F125:M125"/>
    <mergeCell ref="E128:L128"/>
    <mergeCell ref="E138:L138"/>
    <mergeCell ref="E140:L140"/>
    <mergeCell ref="F4:G4"/>
    <mergeCell ref="H4:I4"/>
    <mergeCell ref="J4:K4"/>
    <mergeCell ref="L4:M4"/>
    <mergeCell ref="F33:M33"/>
    <mergeCell ref="E15:L15"/>
    <mergeCell ref="E22:L22"/>
    <mergeCell ref="E24:L24"/>
    <mergeCell ref="F5:G5"/>
    <mergeCell ref="H5:I5"/>
    <mergeCell ref="J5:K5"/>
    <mergeCell ref="L5:M5"/>
    <mergeCell ref="E8:L8"/>
    <mergeCell ref="F11:M1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Spinner 1">
              <controlPr defaultSize="0" autoPict="0">
                <anchor moveWithCells="1" sizeWithCells="1">
                  <from>
                    <xdr:col>13</xdr:col>
                    <xdr:colOff>617220</xdr:colOff>
                    <xdr:row>3</xdr:row>
                    <xdr:rowOff>0</xdr:rowOff>
                  </from>
                  <to>
                    <xdr:col>13</xdr:col>
                    <xdr:colOff>861060</xdr:colOff>
                    <xdr:row>5</xdr:row>
                    <xdr:rowOff>0</xdr:rowOff>
                  </to>
                </anchor>
              </controlPr>
            </control>
          </mc:Choice>
        </mc:AlternateContent>
      </controls>
    </mc:Choice>
  </mc:AlternateContent>
  <tableParts count="7">
    <tablePart r:id="rId5"/>
    <tablePart r:id="rId6"/>
    <tablePart r:id="rId7"/>
    <tablePart r:id="rId8"/>
    <tablePart r:id="rId9"/>
    <tablePart r:id="rId10"/>
    <tablePart r:id="rId1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6">
    <tabColor theme="9" tint="-0.499984740745262"/>
  </sheetPr>
  <dimension ref="A1"/>
  <sheetViews>
    <sheetView showGridLines="0" workbookViewId="0"/>
  </sheetViews>
  <sheetFormatPr baseColWidth="10" defaultRowHeight="14.4"/>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W690"/>
  <sheetViews>
    <sheetView showGridLines="0" tabSelected="1" zoomScale="85" zoomScaleNormal="85" workbookViewId="0">
      <pane ySplit="6" topLeftCell="A7" activePane="bottomLeft" state="frozen"/>
      <selection pane="bottomLeft" activeCell="J555" sqref="J555"/>
    </sheetView>
  </sheetViews>
  <sheetFormatPr baseColWidth="10" defaultRowHeight="14.4" outlineLevelRow="3"/>
  <cols>
    <col min="1" max="1" width="3.109375" customWidth="1"/>
    <col min="2" max="2" width="3.109375" style="114" customWidth="1"/>
    <col min="3" max="3" width="3.109375" customWidth="1"/>
    <col min="4" max="4" width="7.33203125" customWidth="1"/>
    <col min="5" max="5" width="32.6640625" customWidth="1"/>
    <col min="8" max="8" width="11.5546875" customWidth="1"/>
    <col min="10" max="10" width="11.5546875" customWidth="1"/>
    <col min="12" max="12" width="11.5546875" customWidth="1"/>
    <col min="13" max="13" width="10.88671875" customWidth="1"/>
    <col min="14" max="14" width="12.5546875" customWidth="1"/>
    <col min="15" max="15" width="13.5546875" customWidth="1"/>
    <col min="16" max="16" width="13" customWidth="1"/>
  </cols>
  <sheetData>
    <row r="1" spans="1:20" ht="25.95" customHeight="1" thickBot="1">
      <c r="D1" s="368"/>
      <c r="E1" s="619" t="s">
        <v>308</v>
      </c>
      <c r="F1" s="619"/>
      <c r="G1" s="619"/>
      <c r="H1" s="619"/>
      <c r="I1" s="619"/>
      <c r="J1" s="619"/>
      <c r="K1" s="619"/>
      <c r="L1" s="619"/>
      <c r="M1" s="619"/>
    </row>
    <row r="2" spans="1:20" ht="10.95" customHeight="1" thickTop="1">
      <c r="D2" s="2"/>
      <c r="E2" s="150"/>
      <c r="F2" s="150"/>
      <c r="G2" s="150"/>
      <c r="H2" s="150"/>
      <c r="I2" s="150"/>
      <c r="J2" s="150"/>
      <c r="K2" s="150"/>
      <c r="L2" s="150"/>
      <c r="M2" s="150"/>
    </row>
    <row r="3" spans="1:20" ht="28.95" customHeight="1">
      <c r="D3" s="2"/>
      <c r="E3" s="375" t="str">
        <f>HYPERLINK("#Bilans!E"&amp;TEXT(MATCH(E8,C1:C1505,0),"#"),E8)</f>
        <v>Bilans d'énergie au format SDES</v>
      </c>
      <c r="F3" s="671" t="str">
        <f>HYPERLINK("#Bilans!E"&amp;TEXT(MATCH(E510,C1:C1505,0),"#"),E510)</f>
        <v>Offre-demande d'énergie</v>
      </c>
      <c r="G3" s="671"/>
      <c r="H3" s="671"/>
      <c r="I3" s="671"/>
      <c r="J3" s="671"/>
      <c r="K3" s="671"/>
      <c r="O3" s="664" t="s">
        <v>181</v>
      </c>
      <c r="P3" s="665"/>
      <c r="Q3" s="666"/>
      <c r="R3" s="667" t="s">
        <v>137</v>
      </c>
      <c r="S3" s="667"/>
      <c r="T3" s="668"/>
    </row>
    <row r="4" spans="1:20" ht="26.4" customHeight="1">
      <c r="D4" s="184"/>
      <c r="E4" s="357" t="str">
        <f>IFERROR(IF(Moteur!$D$14=3,HYPERLINK("#"&amp;$E$1&amp;"!E"&amp;TEXT(MATCH(Moteur!F29,$C1:$C1500,0),"#"),Moteur!F29),IF(Moteur!$D$14=2,HYPERLINK("#"&amp;$E$1&amp;"!E"&amp;TEXT(MATCH(Moteur!F30,$C1:$C1500,0),"#"),Moteur!F30),HYPERLINK("#"&amp;$E$1&amp;"!E"&amp;TEXT(MATCH(Moteur!F31,$C1:$C1500,0),"#"),Moteur!F31))),"")</f>
        <v/>
      </c>
      <c r="F4" s="640" t="str">
        <f>IFERROR(IF(Moteur!$D$14=3,HYPERLINK("#"&amp;$E$1&amp;"!E"&amp;TEXT(MATCH(Moteur!F31,$C1:$C1500,0),"#"),Moteur!F31),IF(Moteur!$D$14=2,HYPERLINK("#"&amp;$E$1&amp;"!E"&amp;TEXT(MATCH(Moteur!F32,$C1:$C1500,0),"#"),Moteur!F32),HYPERLINK("#"&amp;$E$1&amp;"!E"&amp;TEXT(MATCH(Moteur!F33,$C1:$C1500,0),"#"),Moteur!F33))),"")</f>
        <v>Biomasse</v>
      </c>
      <c r="G4" s="633"/>
      <c r="H4" s="640" t="str">
        <f>IFERROR(IF(Moteur!$D$14=3,HYPERLINK("#"&amp;$E$1&amp;"!E"&amp;TEXT(MATCH(Moteur!G31,$C1:$C1500,0),"#"),Moteur!G31),IF(Moteur!$D$14=2,HYPERLINK("#"&amp;$E$1&amp;"!E"&amp;TEXT(MATCH(Moteur!G32,$C1:$C1500,0),"#"),Moteur!G32),HYPERLINK("#"&amp;$E$1&amp;"!E"&amp;TEXT(MATCH(Moteur!G33,$C1:$C1500,0),"#"),Moteur!G33))),"")</f>
        <v>Electricité</v>
      </c>
      <c r="I4" s="633"/>
      <c r="J4" s="640" t="str">
        <f>IFERROR(IF(Moteur!$D$14=3,HYPERLINK("#"&amp;$E$1&amp;"!E"&amp;TEXT(MATCH(Moteur!H31,$C1:$C1500,0),"#"),Moteur!H31),IF(Moteur!$D$14=2,HYPERLINK("#"&amp;$E$1&amp;"!E"&amp;TEXT(MATCH(Moteur!H32,$C1:$C1500,0),"#"),Moteur!H32),HYPERLINK("#"&amp;$E$1&amp;"!E"&amp;TEXT(MATCH(Moteur!H33,$C1:$C1500,0),"#"),Moteur!H33))),"")</f>
        <v>Chaleur</v>
      </c>
      <c r="K4" s="633"/>
      <c r="O4" s="359" t="str">
        <f>IF(Moteur!$D$6=3,HYPERLINK("#"&amp;Moteur!F5&amp;"!E1",Moteur!F5),IF(Moteur!$D$6=2,HYPERLINK("#"&amp;Moteur!F6&amp;"!E1",Moteur!F6),HYPERLINK("#"&amp;Moteur!F7&amp;"!E1",Moteur!F7)))</f>
        <v>Cadrage</v>
      </c>
      <c r="P4" s="359" t="str">
        <f>IF(Moteur!$D$6=3,HYPERLINK("#"&amp;Moteur!G5&amp;"!E1",Moteur!G5),IF(Moteur!$D$6=2,HYPERLINK("#"&amp;Moteur!G6&amp;"!E1",Moteur!G6),HYPERLINK("#"&amp;Moteur!G7&amp;"!E1",Moteur!G7)))</f>
        <v>Industrie</v>
      </c>
      <c r="Q4" s="360" t="str">
        <f>IF(Moteur!$D$6=3,HYPERLINK("#"&amp;Moteur!H5&amp;"!E1",Moteur!H5),IF(Moteur!$D$6=2,HYPERLINK("#"&amp;Moteur!H6&amp;"!E1",Moteur!H6),HYPERLINK("#"&amp;Moteur!H7&amp;"!E1",Moteur!H7)))</f>
        <v>Agriculture</v>
      </c>
      <c r="R4" s="362" t="str">
        <f>IF(Moteur!$D$6=3,HYPERLINK("#"&amp;Moteur!J5&amp;"!E1",Moteur!J5),IF(Moteur!$D$6=2,HYPERLINK("#"&amp;Moteur!J5&amp;"!E1",Moteur!J5),HYPERLINK("#"&amp;Moteur!J5&amp;"!E1",Moteur!J5)))</f>
        <v>Bilans</v>
      </c>
      <c r="S4" s="358" t="str">
        <f>IF(Moteur!$D$6=3,HYPERLINK("#"&amp;Moteur!K5&amp;"!E1",Moteur!K5),IF(Moteur!$D$6=2,HYPERLINK("#"&amp;Moteur!K5&amp;"!E1",Moteur!K5),HYPERLINK("#"&amp;Moteur!K5&amp;"!E1",Moteur!K5)))</f>
        <v>GES</v>
      </c>
      <c r="T4" s="478">
        <f>IF(Moteur!$D$6=3,HYPERLINK("#"&amp;Moteur!L5&amp;"!E1",Moteur!L5),IF(Moteur!$D$6=2,HYPERLINK("#"&amp;Moteur!L5&amp;"!E1",Moteur!L5),HYPERLINK("#"&amp;Moteur!L5&amp;"!E1",Moteur!L5)))</f>
        <v>0</v>
      </c>
    </row>
    <row r="5" spans="1:20" ht="26.4" customHeight="1">
      <c r="D5" s="184"/>
      <c r="E5" s="357" t="str">
        <f>IFERROR(IF(Moteur!$D$14=3,HYPERLINK("#"&amp;$E$1&amp;"!E"&amp;TEXT(MATCH(Moteur!F30,$C1:$C1505,0),"#"),Moteur!F30),IF(Moteur!$D$14=2,HYPERLINK("#"&amp;$E$1&amp;"!E"&amp;TEXT(MATCH(Moteur!F31,$C1:$C1505,0),"#"),Moteur!F31),HYPERLINK("#"&amp;$E$1&amp;"!E"&amp;TEXT(MATCH(Moteur!F31,$C1:$C1505,0),"#"),Moteur!F31))),"")</f>
        <v/>
      </c>
      <c r="F5" s="632" t="str">
        <f>IFERROR(IF(Moteur!$D$14=3,HYPERLINK("#"&amp;$E$1&amp;"!E"&amp;TEXT(MATCH(Moteur!F32,$C1:$C1141,0),"#"),Moteur!F32),IF(Moteur!$D$14=2,HYPERLINK("#"&amp;$E$1&amp;"!E"&amp;TEXT(MATCH(Moteur!F33,$C1:$C1141,0),"#"),Moteur!F33),HYPERLINK("#"&amp;$E$1&amp;"!E"&amp;TEXT(MATCH(Moteur!F37,$C1:$C1141,0),"#"),Moteur!F37))),"")</f>
        <v>Charbon</v>
      </c>
      <c r="G5" s="633"/>
      <c r="H5" s="632" t="str">
        <f>IFERROR(IF(Moteur!$D$14=3,HYPERLINK("#"&amp;$E$1&amp;"!E"&amp;TEXT(MATCH(Moteur!G32,$C1:$C1401,0),"#"),Moteur!G32),IF(Moteur!$D$14=2,HYPERLINK("#"&amp;$E$1&amp;"!E"&amp;TEXT(MATCH(Moteur!G33,$C1:$C1401,0),"#"),Moteur!G33),HYPERLINK("#"&amp;$E$1&amp;"!E"&amp;TEXT(MATCH(Moteur!G17,$C1:$C1401,0),"#"),Moteur!G17))),"")</f>
        <v>Pétrole brut</v>
      </c>
      <c r="I5" s="633"/>
      <c r="J5" s="632" t="str">
        <f>IFERROR(IF(Moteur!$D$14=3,HYPERLINK("#"&amp;$E$1&amp;"!E"&amp;TEXT(MATCH(Moteur!H32,$C1:$C1141,0),"#"),Moteur!H32),IF(Moteur!$D$14=2,HYPERLINK("#"&amp;$E$1&amp;"!E"&amp;TEXT(MATCH(Moteur!H33,$C1:$C1141,0),"#"),Moteur!H33),HYPERLINK("#"&amp;$E$1&amp;"!E"&amp;TEXT(MATCH(Moteur!H37,$C1:$C1141,0),"#"),Moteur!H37))),"")</f>
        <v>Produits pétroliers</v>
      </c>
      <c r="K5" s="633"/>
      <c r="O5" s="359" t="str">
        <f>IF(Moteur!$D$6=3,HYPERLINK("#"&amp;Moteur!F6&amp;"!E1",Moteur!F6),IF(Moteur!$D$6=2,HYPERLINK("#"&amp;Moteur!F7&amp;"!E1",Moteur!F7),""))</f>
        <v>Energie</v>
      </c>
      <c r="P5" s="359" t="str">
        <f>IF(Moteur!$D$6=3,HYPERLINK("#"&amp;Moteur!G6&amp;"!E1",Moteur!G6),IF(Moteur!$D$6=2,HYPERLINK("#"&amp;Moteur!G7&amp;"!E1",Moteur!G7),""))</f>
        <v>Transports</v>
      </c>
      <c r="Q5" s="361" t="str">
        <f>IF(Moteur!$D$6=3,HYPERLINK("#"&amp;Moteur!H6&amp;"!E1",Moteur!H6),IF(Moteur!$D$6=2,HYPERLINK("#"&amp;Moteur!H7&amp;"!E1",Moteur!H7),""))</f>
        <v>Déchets</v>
      </c>
      <c r="R5" s="479">
        <f>IF(Moteur!$D$6=3,HYPERLINK("#"&amp;Moteur!J6&amp;"!E1",Moteur!J6),IF(Moteur!$D$6=2,HYPERLINK("#"&amp;Moteur!J7&amp;"!E1",Moteur!J6),HYPERLINK("#"&amp;Moteur!J5&amp;"!E1",Moteur!J6)))</f>
        <v>0</v>
      </c>
      <c r="S5" s="358" t="str">
        <f>IF(Moteur!$D$6=3,HYPERLINK("#"&amp;Moteur!K6&amp;"!E1",Moteur!K6),IF(Moteur!$D$6=2,HYPERLINK("#"&amp;Moteur!K7&amp;"!E1",Moteur!K6),HYPERLINK("#"&amp;Moteur!K5&amp;"!E1",Moteur!K6)))</f>
        <v xml:space="preserve"> </v>
      </c>
      <c r="T5" s="358" t="str">
        <f>IF(Moteur!$D$6=3,HYPERLINK("#"&amp;Moteur!L6&amp;"!E1",Moteur!L6),IF(Moteur!$D$6=2,HYPERLINK("#"&amp;Moteur!L7&amp;"!E1",Moteur!L6),HYPERLINK("#"&amp;Moteur!L5&amp;"!E1",Moteur!L6)))</f>
        <v xml:space="preserve"> </v>
      </c>
    </row>
    <row r="6" spans="1:20" ht="11.4" customHeight="1">
      <c r="E6" s="152"/>
      <c r="F6" s="152"/>
      <c r="G6" s="152"/>
      <c r="H6" s="152"/>
      <c r="I6" s="152"/>
      <c r="J6" s="152"/>
      <c r="K6" s="152"/>
    </row>
    <row r="8" spans="1:20" ht="32.4" customHeight="1" thickBot="1">
      <c r="A8" s="363"/>
      <c r="C8" s="151" t="str">
        <f>IF(ISBLANK(E8),IF(ISBLANK(F8),"",F8),E8)</f>
        <v>Bilans d'énergie au format SDES</v>
      </c>
      <c r="D8" s="369"/>
      <c r="E8" s="617" t="s">
        <v>182</v>
      </c>
      <c r="F8" s="617"/>
      <c r="G8" s="617"/>
      <c r="H8" s="617"/>
      <c r="I8" s="617"/>
      <c r="J8" s="617"/>
      <c r="K8" s="617"/>
      <c r="L8" s="617"/>
      <c r="M8" s="369"/>
      <c r="N8" s="149"/>
    </row>
    <row r="9" spans="1:20" ht="15" thickTop="1">
      <c r="A9" s="363"/>
      <c r="C9" s="151" t="str">
        <f t="shared" ref="C9:C70" si="0">IF(ISBLANK(E9),IF(ISBLANK(F9),"",F9),E9)</f>
        <v/>
      </c>
      <c r="D9" s="3"/>
      <c r="E9" s="3"/>
      <c r="F9" s="3"/>
      <c r="G9" s="3"/>
      <c r="H9" s="3"/>
      <c r="I9" s="3"/>
      <c r="J9" s="3"/>
      <c r="K9" s="3"/>
      <c r="L9" s="3"/>
      <c r="M9" s="3"/>
    </row>
    <row r="10" spans="1:20" ht="21" customHeight="1">
      <c r="A10" s="363"/>
      <c r="C10" s="151" t="str">
        <f t="shared" si="0"/>
        <v>La méthodologie des bilans SDES est consultable à cette adresse:</v>
      </c>
      <c r="D10" s="111"/>
      <c r="E10" s="124" t="s">
        <v>982</v>
      </c>
      <c r="F10" s="111"/>
      <c r="G10" s="111"/>
      <c r="H10" s="111"/>
      <c r="I10" s="111"/>
      <c r="J10" s="111"/>
      <c r="K10" s="111"/>
      <c r="L10" s="111"/>
      <c r="M10" s="111"/>
      <c r="N10" s="2"/>
    </row>
    <row r="11" spans="1:20" ht="21" customHeight="1">
      <c r="A11" s="363"/>
      <c r="C11" s="151" t="str">
        <f t="shared" si="0"/>
        <v>https://www.statistiques.developpement-durable.gouv.fr/sites/default/files/2022-01/methodologie_bilan_energie_france.pdf</v>
      </c>
      <c r="D11" s="111"/>
      <c r="E11" s="669" t="s">
        <v>983</v>
      </c>
      <c r="F11" s="670"/>
      <c r="G11" s="670"/>
      <c r="H11" s="670"/>
      <c r="I11" s="670"/>
      <c r="J11" s="670"/>
      <c r="K11" s="670"/>
      <c r="L11" s="670"/>
      <c r="M11" s="111"/>
    </row>
    <row r="12" spans="1:20" ht="15.6">
      <c r="A12" s="363"/>
      <c r="C12" s="151" t="str">
        <f t="shared" si="0"/>
        <v/>
      </c>
      <c r="D12" s="111"/>
      <c r="E12" s="613"/>
      <c r="F12" s="614"/>
      <c r="G12" s="614"/>
      <c r="H12" s="614"/>
      <c r="I12" s="614"/>
      <c r="J12" s="614"/>
      <c r="K12" s="614"/>
      <c r="L12" s="614"/>
      <c r="M12" s="111"/>
    </row>
    <row r="13" spans="1:20" ht="14.4" customHeight="1">
      <c r="A13" s="363"/>
      <c r="C13" s="151" t="str">
        <f t="shared" si="0"/>
        <v/>
      </c>
      <c r="D13" s="112"/>
      <c r="E13" s="113"/>
      <c r="F13" s="113"/>
      <c r="G13" s="113"/>
      <c r="H13" s="113"/>
      <c r="I13" s="113"/>
      <c r="J13" s="113"/>
      <c r="K13" s="113"/>
      <c r="L13" s="113"/>
      <c r="M13" s="3"/>
    </row>
    <row r="14" spans="1:20" ht="28.8" thickBot="1">
      <c r="A14" s="363"/>
      <c r="B14" s="364"/>
      <c r="C14" s="151" t="str">
        <f t="shared" si="0"/>
        <v>Périmètre France Kyoto (TWh PCI)</v>
      </c>
      <c r="D14" s="369"/>
      <c r="E14" s="370"/>
      <c r="F14" s="617" t="s">
        <v>1105</v>
      </c>
      <c r="G14" s="617"/>
      <c r="H14" s="617"/>
      <c r="I14" s="617"/>
      <c r="J14" s="617"/>
      <c r="K14" s="617"/>
      <c r="L14" s="617"/>
      <c r="M14" s="617"/>
    </row>
    <row r="15" spans="1:20" ht="15" thickTop="1">
      <c r="A15" s="363"/>
      <c r="B15" s="364"/>
      <c r="C15" s="151" t="str">
        <f t="shared" si="0"/>
        <v/>
      </c>
    </row>
    <row r="16" spans="1:20" outlineLevel="1">
      <c r="A16" s="363"/>
      <c r="B16" s="364"/>
      <c r="C16" s="151" t="str">
        <f t="shared" si="0"/>
        <v/>
      </c>
      <c r="D16" s="115"/>
      <c r="E16" s="115"/>
      <c r="F16" s="115"/>
      <c r="G16" s="115"/>
      <c r="H16" s="115"/>
      <c r="I16" s="115"/>
      <c r="J16" s="115"/>
      <c r="K16" s="115"/>
      <c r="L16" s="115"/>
      <c r="M16" s="115"/>
    </row>
    <row r="17" spans="1:23" outlineLevel="1">
      <c r="A17" s="363"/>
      <c r="B17" s="364"/>
      <c r="C17" s="151" t="str">
        <f t="shared" si="0"/>
        <v/>
      </c>
      <c r="D17" s="115"/>
      <c r="E17" s="115"/>
      <c r="F17" s="115"/>
      <c r="G17" s="115"/>
      <c r="H17" s="115"/>
      <c r="I17" s="115"/>
      <c r="J17" s="115"/>
      <c r="K17" s="115"/>
      <c r="L17" s="115"/>
      <c r="M17" s="115"/>
    </row>
    <row r="18" spans="1:23" ht="28.2" outlineLevel="1">
      <c r="A18" s="363"/>
      <c r="B18" s="365"/>
      <c r="C18" s="151">
        <f t="shared" si="0"/>
        <v>2019</v>
      </c>
      <c r="D18" s="269"/>
      <c r="E18" s="654">
        <v>2019</v>
      </c>
      <c r="F18" s="655"/>
      <c r="G18" s="655"/>
      <c r="H18" s="655"/>
      <c r="I18" s="655"/>
      <c r="J18" s="655"/>
      <c r="K18" s="655"/>
      <c r="L18" s="656"/>
      <c r="M18" s="272"/>
      <c r="N18" s="273"/>
      <c r="O18" s="273"/>
      <c r="P18" s="273"/>
      <c r="Q18" s="273"/>
      <c r="R18" s="273"/>
      <c r="S18" s="273"/>
      <c r="T18" s="273"/>
      <c r="U18" s="273"/>
      <c r="V18" s="273"/>
      <c r="W18" s="273"/>
    </row>
    <row r="19" spans="1:23" ht="14.4" hidden="1" customHeight="1" outlineLevel="2">
      <c r="A19" s="363"/>
      <c r="B19" s="365"/>
      <c r="C19" s="151" t="str">
        <f t="shared" si="0"/>
        <v>TWh</v>
      </c>
      <c r="D19" s="270"/>
      <c r="E19" s="663" t="s">
        <v>184</v>
      </c>
      <c r="F19" s="659" t="s">
        <v>185</v>
      </c>
      <c r="G19" s="659" t="s">
        <v>186</v>
      </c>
      <c r="H19" s="659" t="s">
        <v>187</v>
      </c>
      <c r="I19" s="657" t="s">
        <v>188</v>
      </c>
      <c r="J19" s="659" t="s">
        <v>189</v>
      </c>
      <c r="K19" s="657" t="s">
        <v>190</v>
      </c>
      <c r="L19" s="659" t="s">
        <v>191</v>
      </c>
      <c r="M19" s="659" t="s">
        <v>192</v>
      </c>
      <c r="N19" s="659" t="s">
        <v>193</v>
      </c>
      <c r="O19" s="660"/>
      <c r="P19" s="660"/>
      <c r="Q19" s="660"/>
      <c r="R19" s="660"/>
      <c r="S19" s="661"/>
      <c r="T19" s="657" t="s">
        <v>194</v>
      </c>
      <c r="U19" s="657" t="s">
        <v>195</v>
      </c>
      <c r="V19" s="657" t="s">
        <v>196</v>
      </c>
      <c r="W19" s="657" t="s">
        <v>144</v>
      </c>
    </row>
    <row r="20" spans="1:23" ht="36" hidden="1" customHeight="1" outlineLevel="2">
      <c r="A20" s="363"/>
      <c r="B20" s="365"/>
      <c r="C20" s="151" t="str">
        <f t="shared" si="0"/>
        <v/>
      </c>
      <c r="D20" s="270"/>
      <c r="E20" s="663"/>
      <c r="F20" s="659"/>
      <c r="G20" s="659"/>
      <c r="H20" s="659"/>
      <c r="I20" s="658"/>
      <c r="J20" s="659"/>
      <c r="K20" s="658"/>
      <c r="L20" s="659"/>
      <c r="M20" s="659"/>
      <c r="N20" s="153" t="s">
        <v>197</v>
      </c>
      <c r="O20" s="153" t="s">
        <v>24</v>
      </c>
      <c r="P20" s="153" t="s">
        <v>198</v>
      </c>
      <c r="Q20" s="153" t="s">
        <v>199</v>
      </c>
      <c r="R20" s="154" t="s">
        <v>200</v>
      </c>
      <c r="S20" s="153" t="s">
        <v>201</v>
      </c>
      <c r="T20" s="658"/>
      <c r="U20" s="658"/>
      <c r="V20" s="658"/>
      <c r="W20" s="658"/>
    </row>
    <row r="21" spans="1:23" ht="14.4" hidden="1" customHeight="1" outlineLevel="2">
      <c r="A21" s="363"/>
      <c r="B21" s="365"/>
      <c r="C21" s="151" t="str">
        <f t="shared" si="0"/>
        <v>Production d'énergie primaire</v>
      </c>
      <c r="D21" s="270"/>
      <c r="E21" s="170" t="s">
        <v>202</v>
      </c>
      <c r="F21" s="156">
        <v>0</v>
      </c>
      <c r="G21" s="156">
        <v>11.595553697293001</v>
      </c>
      <c r="H21" s="157">
        <v>0</v>
      </c>
      <c r="I21" s="156">
        <v>0</v>
      </c>
      <c r="J21" s="156">
        <v>0.16688824999999999</v>
      </c>
      <c r="K21" s="156">
        <v>0</v>
      </c>
      <c r="L21" s="157">
        <v>1209.1260212121213</v>
      </c>
      <c r="M21" s="157">
        <v>104.3311966741735</v>
      </c>
      <c r="N21" s="157">
        <v>120.67293388888929</v>
      </c>
      <c r="O21" s="157">
        <v>34.900820833333334</v>
      </c>
      <c r="P21" s="157">
        <v>0</v>
      </c>
      <c r="Q21" s="157">
        <v>9.0983058888888646</v>
      </c>
      <c r="R21" s="157">
        <v>31.698274999999999</v>
      </c>
      <c r="S21" s="157">
        <v>7.5310224999999988</v>
      </c>
      <c r="T21" s="157">
        <v>0</v>
      </c>
      <c r="U21" s="157">
        <v>0</v>
      </c>
      <c r="V21" s="157">
        <v>0</v>
      </c>
      <c r="W21" s="158">
        <v>1529.1210179446991</v>
      </c>
    </row>
    <row r="22" spans="1:23" ht="14.4" hidden="1" customHeight="1" outlineLevel="2">
      <c r="A22" s="363"/>
      <c r="B22" s="365"/>
      <c r="C22" s="151" t="str">
        <f t="shared" si="0"/>
        <v>Importations</v>
      </c>
      <c r="D22" s="270"/>
      <c r="E22" s="170" t="s">
        <v>203</v>
      </c>
      <c r="F22" s="157">
        <v>84.727843146635564</v>
      </c>
      <c r="G22" s="157">
        <v>578.28949050727442</v>
      </c>
      <c r="H22" s="157">
        <v>535.06419481988212</v>
      </c>
      <c r="I22" s="157">
        <v>0</v>
      </c>
      <c r="J22" s="157">
        <v>568.75187100000016</v>
      </c>
      <c r="K22" s="157">
        <v>0</v>
      </c>
      <c r="L22" s="157">
        <v>0</v>
      </c>
      <c r="M22" s="157">
        <v>0</v>
      </c>
      <c r="N22" s="157">
        <v>2.7591261111111107</v>
      </c>
      <c r="O22" s="157">
        <v>0</v>
      </c>
      <c r="P22" s="157">
        <v>19.183841687689483</v>
      </c>
      <c r="Q22" s="157">
        <v>0</v>
      </c>
      <c r="R22" s="157">
        <v>0</v>
      </c>
      <c r="S22" s="157">
        <v>0</v>
      </c>
      <c r="T22" s="157">
        <v>15.63175</v>
      </c>
      <c r="U22" s="157">
        <v>0</v>
      </c>
      <c r="V22" s="157">
        <v>0</v>
      </c>
      <c r="W22" s="158">
        <v>1804.4081172725928</v>
      </c>
    </row>
    <row r="23" spans="1:23" ht="14.4" hidden="1" customHeight="1" outlineLevel="2">
      <c r="A23" s="363"/>
      <c r="B23" s="365"/>
      <c r="C23" s="151" t="str">
        <f t="shared" si="0"/>
        <v>Exportations</v>
      </c>
      <c r="D23" s="270"/>
      <c r="E23" s="170" t="s">
        <v>204</v>
      </c>
      <c r="F23" s="157">
        <v>-4.7877500119999999E-2</v>
      </c>
      <c r="G23" s="157">
        <v>-1.599063909936</v>
      </c>
      <c r="H23" s="157">
        <v>-205.43265045753787</v>
      </c>
      <c r="I23" s="157">
        <v>0</v>
      </c>
      <c r="J23" s="157">
        <v>-112.63352224999998</v>
      </c>
      <c r="K23" s="157">
        <v>0</v>
      </c>
      <c r="L23" s="157">
        <v>0</v>
      </c>
      <c r="M23" s="157">
        <v>0</v>
      </c>
      <c r="N23" s="157">
        <v>-2.3667455555555552</v>
      </c>
      <c r="O23" s="157">
        <v>0</v>
      </c>
      <c r="P23" s="157">
        <v>-8.0445142984108866</v>
      </c>
      <c r="Q23" s="157">
        <v>0</v>
      </c>
      <c r="R23" s="157">
        <v>0</v>
      </c>
      <c r="S23" s="157">
        <v>0</v>
      </c>
      <c r="T23" s="157">
        <v>-73.298799000000002</v>
      </c>
      <c r="U23" s="157">
        <v>0</v>
      </c>
      <c r="V23" s="157">
        <v>0</v>
      </c>
      <c r="W23" s="158">
        <v>-403.42317297156035</v>
      </c>
    </row>
    <row r="24" spans="1:23" ht="14.4" hidden="1" customHeight="1" outlineLevel="2">
      <c r="A24" s="363"/>
      <c r="B24" s="365"/>
      <c r="C24" s="151" t="str">
        <f t="shared" si="0"/>
        <v>Soutes maritimes internationales</v>
      </c>
      <c r="D24" s="270"/>
      <c r="E24" s="170" t="s">
        <v>205</v>
      </c>
      <c r="F24" s="156">
        <v>0</v>
      </c>
      <c r="G24" s="156">
        <v>0</v>
      </c>
      <c r="H24" s="156">
        <v>-19.747038815182684</v>
      </c>
      <c r="I24" s="156">
        <v>0</v>
      </c>
      <c r="J24" s="156">
        <v>0</v>
      </c>
      <c r="K24" s="156">
        <v>0</v>
      </c>
      <c r="L24" s="156">
        <v>0</v>
      </c>
      <c r="M24" s="156">
        <v>0</v>
      </c>
      <c r="N24" s="156">
        <v>0</v>
      </c>
      <c r="O24" s="156">
        <v>0</v>
      </c>
      <c r="P24" s="156">
        <v>0</v>
      </c>
      <c r="Q24" s="156">
        <v>0</v>
      </c>
      <c r="R24" s="156">
        <v>0</v>
      </c>
      <c r="S24" s="156">
        <v>0</v>
      </c>
      <c r="T24" s="157">
        <v>0</v>
      </c>
      <c r="U24" s="157">
        <v>0</v>
      </c>
      <c r="V24" s="156">
        <v>0</v>
      </c>
      <c r="W24" s="158">
        <v>-19.747038815182684</v>
      </c>
    </row>
    <row r="25" spans="1:23" ht="14.4" hidden="1" customHeight="1" outlineLevel="2">
      <c r="A25" s="363"/>
      <c r="B25" s="365"/>
      <c r="C25" s="151" t="str">
        <f t="shared" si="0"/>
        <v>Soutes aériennes internationales</v>
      </c>
      <c r="D25" s="270"/>
      <c r="E25" s="170" t="s">
        <v>206</v>
      </c>
      <c r="F25" s="156">
        <v>0</v>
      </c>
      <c r="G25" s="156">
        <v>0</v>
      </c>
      <c r="H25" s="156">
        <v>-71.966617693689969</v>
      </c>
      <c r="I25" s="156">
        <v>0</v>
      </c>
      <c r="J25" s="156">
        <v>0</v>
      </c>
      <c r="K25" s="156">
        <v>0</v>
      </c>
      <c r="L25" s="156">
        <v>0</v>
      </c>
      <c r="M25" s="156">
        <v>0</v>
      </c>
      <c r="N25" s="156">
        <v>0</v>
      </c>
      <c r="O25" s="156">
        <v>0</v>
      </c>
      <c r="P25" s="156">
        <v>0</v>
      </c>
      <c r="Q25" s="156">
        <v>0</v>
      </c>
      <c r="R25" s="156">
        <v>0</v>
      </c>
      <c r="S25" s="156">
        <v>0</v>
      </c>
      <c r="T25" s="157">
        <v>0</v>
      </c>
      <c r="U25" s="157">
        <v>0</v>
      </c>
      <c r="V25" s="156">
        <v>0</v>
      </c>
      <c r="W25" s="158">
        <v>-71.966617693689969</v>
      </c>
    </row>
    <row r="26" spans="1:23" ht="14.4" hidden="1" customHeight="1" outlineLevel="2">
      <c r="A26" s="363"/>
      <c r="B26" s="365"/>
      <c r="C26" s="151" t="str">
        <f t="shared" si="0"/>
        <v>Variations de stocks (+ = déstockage, - = stockage)</v>
      </c>
      <c r="D26" s="270"/>
      <c r="E26" s="170" t="s">
        <v>207</v>
      </c>
      <c r="F26" s="157">
        <v>0.41223964042222283</v>
      </c>
      <c r="G26" s="157">
        <v>1.3710702337312513</v>
      </c>
      <c r="H26" s="157">
        <v>1.3272538188370329</v>
      </c>
      <c r="I26" s="157">
        <v>0</v>
      </c>
      <c r="J26" s="157">
        <v>-19.664768250000005</v>
      </c>
      <c r="K26" s="157">
        <v>0</v>
      </c>
      <c r="L26" s="157">
        <v>0</v>
      </c>
      <c r="M26" s="157">
        <v>0</v>
      </c>
      <c r="N26" s="157">
        <v>0</v>
      </c>
      <c r="O26" s="157">
        <v>0</v>
      </c>
      <c r="P26" s="157">
        <v>0</v>
      </c>
      <c r="Q26" s="157">
        <v>0</v>
      </c>
      <c r="R26" s="157">
        <v>0</v>
      </c>
      <c r="S26" s="157">
        <v>0</v>
      </c>
      <c r="T26" s="157">
        <v>0</v>
      </c>
      <c r="U26" s="157">
        <v>0</v>
      </c>
      <c r="V26" s="157">
        <v>0</v>
      </c>
      <c r="W26" s="158">
        <v>-16.554204557009498</v>
      </c>
    </row>
    <row r="27" spans="1:23" ht="14.4" hidden="1" customHeight="1" outlineLevel="2">
      <c r="A27" s="363"/>
      <c r="B27" s="365"/>
      <c r="C27" s="151" t="str">
        <f t="shared" si="0"/>
        <v>Total approvisionnement / consommation primaire</v>
      </c>
      <c r="D27" s="270"/>
      <c r="E27" s="171" t="s">
        <v>208</v>
      </c>
      <c r="F27" s="160">
        <v>85.092205286937798</v>
      </c>
      <c r="G27" s="160">
        <v>589.65705052836267</v>
      </c>
      <c r="H27" s="160">
        <v>239.24514167230862</v>
      </c>
      <c r="I27" s="160">
        <v>0</v>
      </c>
      <c r="J27" s="160">
        <v>436.62046875000021</v>
      </c>
      <c r="K27" s="160">
        <v>0</v>
      </c>
      <c r="L27" s="160">
        <v>1209.1260212121213</v>
      </c>
      <c r="M27" s="160">
        <v>104.3311966741735</v>
      </c>
      <c r="N27" s="160">
        <v>121.06531444444485</v>
      </c>
      <c r="O27" s="160">
        <v>34.900820833333334</v>
      </c>
      <c r="P27" s="160">
        <v>11.139327389278597</v>
      </c>
      <c r="Q27" s="160">
        <v>9.0983058888888646</v>
      </c>
      <c r="R27" s="160">
        <v>31.698274999999999</v>
      </c>
      <c r="S27" s="160">
        <v>7.5310224999999988</v>
      </c>
      <c r="T27" s="160">
        <v>-57.667049000000006</v>
      </c>
      <c r="U27" s="160">
        <v>0</v>
      </c>
      <c r="V27" s="160">
        <v>0</v>
      </c>
      <c r="W27" s="160">
        <v>2821.8381011798492</v>
      </c>
    </row>
    <row r="28" spans="1:23" ht="14.4" hidden="1" customHeight="1" outlineLevel="2">
      <c r="A28" s="363"/>
      <c r="B28" s="365"/>
      <c r="C28" s="151" t="str">
        <f t="shared" si="0"/>
        <v/>
      </c>
      <c r="D28" s="270"/>
      <c r="E28" s="161"/>
      <c r="F28" s="162"/>
      <c r="G28" s="162"/>
      <c r="H28" s="162"/>
      <c r="I28" s="162"/>
      <c r="J28" s="162"/>
      <c r="K28" s="162"/>
      <c r="L28" s="162"/>
      <c r="M28" s="162"/>
      <c r="N28" s="162"/>
      <c r="O28" s="162"/>
      <c r="P28" s="162"/>
      <c r="Q28" s="162"/>
      <c r="R28" s="162"/>
      <c r="S28" s="162"/>
      <c r="T28" s="162"/>
      <c r="U28" s="162"/>
      <c r="V28" s="162"/>
      <c r="W28" s="162"/>
    </row>
    <row r="29" spans="1:23" ht="14.4" hidden="1" customHeight="1" outlineLevel="2">
      <c r="A29" s="363"/>
      <c r="B29" s="365"/>
      <c r="C29" s="151" t="str">
        <f t="shared" si="0"/>
        <v>Écart statistique</v>
      </c>
      <c r="D29" s="270"/>
      <c r="E29" s="172" t="s">
        <v>209</v>
      </c>
      <c r="F29" s="156">
        <v>3.6318872869800032</v>
      </c>
      <c r="G29" s="156">
        <v>10.787016352492323</v>
      </c>
      <c r="H29" s="156">
        <v>16.441628886851458</v>
      </c>
      <c r="I29" s="156">
        <v>0</v>
      </c>
      <c r="J29" s="156">
        <v>-1.2134132500000001</v>
      </c>
      <c r="K29" s="156">
        <v>0</v>
      </c>
      <c r="L29" s="156">
        <v>0</v>
      </c>
      <c r="M29" s="156">
        <v>0</v>
      </c>
      <c r="N29" s="156">
        <v>0</v>
      </c>
      <c r="O29" s="156">
        <v>-0.39035819434438856</v>
      </c>
      <c r="P29" s="156">
        <v>0.39056626803326822</v>
      </c>
      <c r="Q29" s="156">
        <v>0</v>
      </c>
      <c r="R29" s="156">
        <v>0</v>
      </c>
      <c r="S29" s="156">
        <v>0</v>
      </c>
      <c r="T29" s="156">
        <v>4.6315588193812136</v>
      </c>
      <c r="U29" s="156">
        <v>0</v>
      </c>
      <c r="V29" s="157">
        <v>0</v>
      </c>
      <c r="W29" s="158">
        <v>34.278886169393878</v>
      </c>
    </row>
    <row r="30" spans="1:23" ht="14.4" hidden="1" customHeight="1" outlineLevel="2">
      <c r="A30" s="363"/>
      <c r="B30" s="365"/>
      <c r="C30" s="151" t="str">
        <f t="shared" si="0"/>
        <v>Production d'électricité</v>
      </c>
      <c r="D30" s="270"/>
      <c r="E30" s="172" t="s">
        <v>13</v>
      </c>
      <c r="F30" s="156">
        <v>17.443753714840586</v>
      </c>
      <c r="G30" s="156">
        <v>0</v>
      </c>
      <c r="H30" s="156">
        <v>13.62708829242459</v>
      </c>
      <c r="I30" s="156">
        <v>0</v>
      </c>
      <c r="J30" s="156">
        <v>62.931904980327779</v>
      </c>
      <c r="K30" s="156">
        <v>0</v>
      </c>
      <c r="L30" s="156">
        <v>1209.1260212121213</v>
      </c>
      <c r="M30" s="156">
        <v>104.3311966741735</v>
      </c>
      <c r="N30" s="156">
        <v>17.794147670554988</v>
      </c>
      <c r="O30" s="156">
        <v>12.388866225144911</v>
      </c>
      <c r="P30" s="156">
        <v>0</v>
      </c>
      <c r="Q30" s="156">
        <v>4.8474406033333333</v>
      </c>
      <c r="R30" s="156">
        <v>0</v>
      </c>
      <c r="S30" s="156">
        <v>1.1825205542668356</v>
      </c>
      <c r="T30" s="156">
        <v>-566.17178776794128</v>
      </c>
      <c r="U30" s="156">
        <v>0</v>
      </c>
      <c r="V30" s="157">
        <v>0</v>
      </c>
      <c r="W30" s="158">
        <v>877.50115215924654</v>
      </c>
    </row>
    <row r="31" spans="1:23" ht="14.4" hidden="1" customHeight="1" outlineLevel="2">
      <c r="A31" s="363"/>
      <c r="B31" s="365"/>
      <c r="C31" s="151" t="str">
        <f t="shared" si="0"/>
        <v>Production de chaleur</v>
      </c>
      <c r="D31" s="270"/>
      <c r="E31" s="172" t="s">
        <v>210</v>
      </c>
      <c r="F31" s="156">
        <v>1.9109444951460814</v>
      </c>
      <c r="G31" s="156">
        <v>0</v>
      </c>
      <c r="H31" s="156">
        <v>0.26671791988070115</v>
      </c>
      <c r="I31" s="156">
        <v>0</v>
      </c>
      <c r="J31" s="156">
        <v>20.764778769672215</v>
      </c>
      <c r="K31" s="156">
        <v>0</v>
      </c>
      <c r="L31" s="156">
        <v>0</v>
      </c>
      <c r="M31" s="156">
        <v>0</v>
      </c>
      <c r="N31" s="156">
        <v>8.5293872999380707</v>
      </c>
      <c r="O31" s="156">
        <v>16.588146755013483</v>
      </c>
      <c r="P31" s="156">
        <v>0</v>
      </c>
      <c r="Q31" s="156">
        <v>2.852532452222222</v>
      </c>
      <c r="R31" s="156">
        <v>0.25919055555555554</v>
      </c>
      <c r="S31" s="156">
        <v>3.5768259901376065</v>
      </c>
      <c r="T31" s="156">
        <v>0</v>
      </c>
      <c r="U31" s="156">
        <v>-46.772072780777776</v>
      </c>
      <c r="V31" s="157">
        <v>0</v>
      </c>
      <c r="W31" s="158">
        <v>7.9764514567881619</v>
      </c>
    </row>
    <row r="32" spans="1:23" ht="14.4" hidden="1" customHeight="1" outlineLevel="2">
      <c r="A32" s="363"/>
      <c r="B32" s="365"/>
      <c r="C32" s="151" t="str">
        <f t="shared" si="0"/>
        <v>Production de gaz renouvelable</v>
      </c>
      <c r="D32" s="270"/>
      <c r="E32" s="172" t="s">
        <v>211</v>
      </c>
      <c r="F32" s="156">
        <v>0</v>
      </c>
      <c r="G32" s="156">
        <v>0</v>
      </c>
      <c r="H32" s="156">
        <v>0</v>
      </c>
      <c r="I32" s="156">
        <v>0</v>
      </c>
      <c r="J32" s="156">
        <v>0</v>
      </c>
      <c r="K32" s="156">
        <v>0</v>
      </c>
      <c r="L32" s="156">
        <v>0</v>
      </c>
      <c r="M32" s="156">
        <v>0</v>
      </c>
      <c r="N32" s="156">
        <v>0</v>
      </c>
      <c r="O32" s="156">
        <v>0</v>
      </c>
      <c r="P32" s="156">
        <v>0</v>
      </c>
      <c r="Q32" s="156">
        <v>-1.1106240000000001</v>
      </c>
      <c r="R32" s="156">
        <v>0</v>
      </c>
      <c r="S32" s="156">
        <v>0</v>
      </c>
      <c r="T32" s="156">
        <v>0</v>
      </c>
      <c r="U32" s="156">
        <v>0</v>
      </c>
      <c r="V32" s="157">
        <v>0</v>
      </c>
      <c r="W32" s="158">
        <v>-1.1106240000000001</v>
      </c>
    </row>
    <row r="33" spans="1:23" ht="14.4" hidden="1" customHeight="1" outlineLevel="2">
      <c r="A33" s="363"/>
      <c r="B33" s="365"/>
      <c r="C33" s="151" t="str">
        <f t="shared" si="0"/>
        <v>Production de gaz de synthèse</v>
      </c>
      <c r="D33" s="270"/>
      <c r="E33" s="172" t="s">
        <v>212</v>
      </c>
      <c r="F33" s="156">
        <v>0</v>
      </c>
      <c r="G33" s="156">
        <v>0</v>
      </c>
      <c r="H33" s="156">
        <v>0</v>
      </c>
      <c r="I33" s="156">
        <v>0</v>
      </c>
      <c r="J33" s="156">
        <v>0</v>
      </c>
      <c r="K33" s="156">
        <v>0</v>
      </c>
      <c r="L33" s="156">
        <v>0</v>
      </c>
      <c r="M33" s="156">
        <v>0</v>
      </c>
      <c r="N33" s="156">
        <v>0</v>
      </c>
      <c r="O33" s="156">
        <v>0</v>
      </c>
      <c r="P33" s="156">
        <v>0</v>
      </c>
      <c r="Q33" s="156">
        <v>0</v>
      </c>
      <c r="R33" s="156">
        <v>0</v>
      </c>
      <c r="S33" s="156">
        <v>0</v>
      </c>
      <c r="T33" s="156">
        <v>0</v>
      </c>
      <c r="U33" s="156">
        <v>0</v>
      </c>
      <c r="V33" s="157">
        <v>0</v>
      </c>
      <c r="W33" s="158">
        <v>0</v>
      </c>
    </row>
    <row r="34" spans="1:23" ht="14.4" hidden="1" customHeight="1" outlineLevel="2">
      <c r="A34" s="363"/>
      <c r="B34" s="365"/>
      <c r="C34" s="151" t="str">
        <f t="shared" si="0"/>
        <v>Raffinage de pétrole</v>
      </c>
      <c r="D34" s="270"/>
      <c r="E34" s="172" t="s">
        <v>213</v>
      </c>
      <c r="F34" s="156">
        <v>0</v>
      </c>
      <c r="G34" s="156">
        <v>607.94319903666315</v>
      </c>
      <c r="H34" s="156">
        <v>-602.93238189654937</v>
      </c>
      <c r="I34" s="156">
        <v>0</v>
      </c>
      <c r="J34" s="156">
        <v>0</v>
      </c>
      <c r="K34" s="156">
        <v>0</v>
      </c>
      <c r="L34" s="156">
        <v>0</v>
      </c>
      <c r="M34" s="156">
        <v>0</v>
      </c>
      <c r="N34" s="156">
        <v>0</v>
      </c>
      <c r="O34" s="156">
        <v>0</v>
      </c>
      <c r="P34" s="156">
        <v>0</v>
      </c>
      <c r="Q34" s="156">
        <v>0</v>
      </c>
      <c r="R34" s="156">
        <v>0</v>
      </c>
      <c r="S34" s="156">
        <v>0</v>
      </c>
      <c r="T34" s="156">
        <v>0</v>
      </c>
      <c r="U34" s="156">
        <v>0</v>
      </c>
      <c r="V34" s="157">
        <v>0</v>
      </c>
      <c r="W34" s="158">
        <v>5.0108171401137724</v>
      </c>
    </row>
    <row r="35" spans="1:23" ht="14.4" hidden="1" customHeight="1" outlineLevel="2">
      <c r="A35" s="363"/>
      <c r="B35" s="365"/>
      <c r="C35" s="151" t="str">
        <f t="shared" si="0"/>
        <v>Production de biocarburants</v>
      </c>
      <c r="D35" s="270"/>
      <c r="E35" s="172" t="s">
        <v>214</v>
      </c>
      <c r="F35" s="156">
        <v>0</v>
      </c>
      <c r="G35" s="156">
        <v>0</v>
      </c>
      <c r="H35" s="156">
        <v>0</v>
      </c>
      <c r="I35" s="156">
        <v>0</v>
      </c>
      <c r="J35" s="156">
        <v>0</v>
      </c>
      <c r="K35" s="156">
        <v>0</v>
      </c>
      <c r="L35" s="156">
        <v>0</v>
      </c>
      <c r="M35" s="156">
        <v>0</v>
      </c>
      <c r="N35" s="156">
        <v>0</v>
      </c>
      <c r="O35" s="156">
        <v>0</v>
      </c>
      <c r="P35" s="156">
        <v>-29.34529096854553</v>
      </c>
      <c r="Q35" s="156">
        <v>0</v>
      </c>
      <c r="R35" s="156">
        <v>0</v>
      </c>
      <c r="S35" s="156">
        <v>0</v>
      </c>
      <c r="T35" s="156">
        <v>0</v>
      </c>
      <c r="U35" s="156">
        <v>0</v>
      </c>
      <c r="V35" s="157">
        <v>0</v>
      </c>
      <c r="W35" s="158">
        <v>-29.34529096854553</v>
      </c>
    </row>
    <row r="36" spans="1:23" ht="14.4" hidden="1" customHeight="1" outlineLevel="2">
      <c r="A36" s="363"/>
      <c r="B36" s="365"/>
      <c r="C36" s="151" t="str">
        <f t="shared" si="0"/>
        <v>Production d'e-fuels</v>
      </c>
      <c r="D36" s="270"/>
      <c r="E36" s="172" t="s">
        <v>215</v>
      </c>
      <c r="F36" s="156">
        <v>0</v>
      </c>
      <c r="G36" s="156">
        <v>0</v>
      </c>
      <c r="H36" s="156">
        <v>0</v>
      </c>
      <c r="I36" s="156">
        <v>0</v>
      </c>
      <c r="J36" s="156">
        <v>0</v>
      </c>
      <c r="K36" s="156">
        <v>0</v>
      </c>
      <c r="L36" s="156">
        <v>0</v>
      </c>
      <c r="M36" s="156">
        <v>0</v>
      </c>
      <c r="N36" s="156">
        <v>0</v>
      </c>
      <c r="O36" s="156">
        <v>0</v>
      </c>
      <c r="P36" s="156">
        <v>0</v>
      </c>
      <c r="Q36" s="156">
        <v>0</v>
      </c>
      <c r="R36" s="156">
        <v>0</v>
      </c>
      <c r="S36" s="156">
        <v>0</v>
      </c>
      <c r="T36" s="156">
        <v>0</v>
      </c>
      <c r="U36" s="156">
        <v>0</v>
      </c>
      <c r="V36" s="157">
        <v>0</v>
      </c>
      <c r="W36" s="158">
        <v>0</v>
      </c>
    </row>
    <row r="37" spans="1:23" ht="14.4" hidden="1" customHeight="1" outlineLevel="2">
      <c r="A37" s="363"/>
      <c r="B37" s="365"/>
      <c r="C37" s="151" t="str">
        <f t="shared" si="0"/>
        <v>Production d'hydrogène</v>
      </c>
      <c r="D37" s="270"/>
      <c r="E37" s="172" t="s">
        <v>216</v>
      </c>
      <c r="F37" s="156">
        <v>0</v>
      </c>
      <c r="G37" s="156">
        <v>0</v>
      </c>
      <c r="H37" s="156">
        <v>0</v>
      </c>
      <c r="I37" s="156">
        <v>0</v>
      </c>
      <c r="J37" s="156">
        <v>0</v>
      </c>
      <c r="K37" s="156">
        <v>0</v>
      </c>
      <c r="L37" s="156">
        <v>0</v>
      </c>
      <c r="M37" s="156">
        <v>0</v>
      </c>
      <c r="N37" s="156">
        <v>0</v>
      </c>
      <c r="O37" s="156">
        <v>0</v>
      </c>
      <c r="P37" s="156">
        <v>0</v>
      </c>
      <c r="Q37" s="156">
        <v>0</v>
      </c>
      <c r="R37" s="156">
        <v>0</v>
      </c>
      <c r="S37" s="156">
        <v>0</v>
      </c>
      <c r="T37" s="156">
        <v>0</v>
      </c>
      <c r="U37" s="156">
        <v>0</v>
      </c>
      <c r="V37" s="157">
        <v>0</v>
      </c>
      <c r="W37" s="158">
        <v>0</v>
      </c>
    </row>
    <row r="38" spans="1:23" ht="14.4" hidden="1" customHeight="1" outlineLevel="2">
      <c r="A38" s="363"/>
      <c r="B38" s="365"/>
      <c r="C38" s="151" t="str">
        <f t="shared" si="0"/>
        <v>Autres transformations, transferts</v>
      </c>
      <c r="D38" s="270"/>
      <c r="E38" s="172" t="s">
        <v>217</v>
      </c>
      <c r="F38" s="156">
        <v>32.750811529533344</v>
      </c>
      <c r="G38" s="156">
        <v>-29.152970396099011</v>
      </c>
      <c r="H38" s="156">
        <v>28.064488458099014</v>
      </c>
      <c r="I38" s="156">
        <v>0</v>
      </c>
      <c r="J38" s="156">
        <v>0</v>
      </c>
      <c r="K38" s="156">
        <v>0</v>
      </c>
      <c r="L38" s="156">
        <v>0</v>
      </c>
      <c r="M38" s="156">
        <v>0</v>
      </c>
      <c r="N38" s="156">
        <v>0</v>
      </c>
      <c r="O38" s="156">
        <v>0</v>
      </c>
      <c r="P38" s="156">
        <v>0</v>
      </c>
      <c r="Q38" s="156">
        <v>0</v>
      </c>
      <c r="R38" s="156">
        <v>0</v>
      </c>
      <c r="S38" s="156">
        <v>0</v>
      </c>
      <c r="T38" s="156">
        <v>0</v>
      </c>
      <c r="U38" s="156">
        <v>0</v>
      </c>
      <c r="V38" s="157">
        <v>0</v>
      </c>
      <c r="W38" s="158">
        <v>31.662329591533346</v>
      </c>
    </row>
    <row r="39" spans="1:23" ht="14.4" hidden="1" customHeight="1" outlineLevel="2">
      <c r="A39" s="363"/>
      <c r="B39" s="365"/>
      <c r="C39" s="151" t="str">
        <f t="shared" si="0"/>
        <v>Usages internes de la branche énergie</v>
      </c>
      <c r="D39" s="270"/>
      <c r="E39" s="172" t="s">
        <v>218</v>
      </c>
      <c r="F39" s="156">
        <v>15.211467777777777</v>
      </c>
      <c r="G39" s="156">
        <v>0</v>
      </c>
      <c r="H39" s="156">
        <v>17.163531653267256</v>
      </c>
      <c r="I39" s="156">
        <v>0</v>
      </c>
      <c r="J39" s="156">
        <v>6.4721602499999999</v>
      </c>
      <c r="K39" s="156">
        <v>0</v>
      </c>
      <c r="L39" s="156">
        <v>0</v>
      </c>
      <c r="M39" s="156">
        <v>0</v>
      </c>
      <c r="N39" s="156">
        <v>0</v>
      </c>
      <c r="O39" s="156">
        <v>0</v>
      </c>
      <c r="P39" s="156">
        <v>0</v>
      </c>
      <c r="Q39" s="156">
        <v>0</v>
      </c>
      <c r="R39" s="156">
        <v>0</v>
      </c>
      <c r="S39" s="156">
        <v>0</v>
      </c>
      <c r="T39" s="156">
        <v>34.075655948560012</v>
      </c>
      <c r="U39" s="156">
        <v>0</v>
      </c>
      <c r="V39" s="157">
        <v>0</v>
      </c>
      <c r="W39" s="158">
        <v>72.922815629605054</v>
      </c>
    </row>
    <row r="40" spans="1:23" ht="14.4" hidden="1" customHeight="1" outlineLevel="2">
      <c r="A40" s="363"/>
      <c r="B40" s="365"/>
      <c r="C40" s="151" t="str">
        <f t="shared" si="0"/>
        <v>Pertes de transport et de distribution</v>
      </c>
      <c r="D40" s="270"/>
      <c r="E40" s="172" t="s">
        <v>219</v>
      </c>
      <c r="F40" s="156">
        <v>0</v>
      </c>
      <c r="G40" s="156">
        <v>0</v>
      </c>
      <c r="H40" s="156">
        <v>0</v>
      </c>
      <c r="I40" s="156">
        <v>0</v>
      </c>
      <c r="J40" s="156">
        <v>4.9770604999999994</v>
      </c>
      <c r="K40" s="156">
        <v>0</v>
      </c>
      <c r="L40" s="156">
        <v>0</v>
      </c>
      <c r="M40" s="156">
        <v>0</v>
      </c>
      <c r="N40" s="156">
        <v>0</v>
      </c>
      <c r="O40" s="156">
        <v>0</v>
      </c>
      <c r="P40" s="156">
        <v>0</v>
      </c>
      <c r="Q40" s="156">
        <v>0</v>
      </c>
      <c r="R40" s="156">
        <v>0</v>
      </c>
      <c r="S40" s="156">
        <v>0</v>
      </c>
      <c r="T40" s="156">
        <v>38.092724000000004</v>
      </c>
      <c r="U40" s="156">
        <v>3.667636947251947</v>
      </c>
      <c r="V40" s="157">
        <v>0</v>
      </c>
      <c r="W40" s="158">
        <v>46.737421447251954</v>
      </c>
    </row>
    <row r="41" spans="1:23" ht="14.4" hidden="1" customHeight="1" outlineLevel="2">
      <c r="A41" s="363"/>
      <c r="B41" s="365"/>
      <c r="C41" s="151" t="str">
        <f t="shared" si="0"/>
        <v>Consommation nette de la branche énergie</v>
      </c>
      <c r="D41" s="270"/>
      <c r="E41" s="171" t="s">
        <v>220</v>
      </c>
      <c r="F41" s="160">
        <v>70.94886480427779</v>
      </c>
      <c r="G41" s="160">
        <v>589.57724499305652</v>
      </c>
      <c r="H41" s="160">
        <v>-527.3689266860265</v>
      </c>
      <c r="I41" s="160">
        <v>0</v>
      </c>
      <c r="J41" s="160">
        <v>93.932491249999984</v>
      </c>
      <c r="K41" s="160">
        <v>0</v>
      </c>
      <c r="L41" s="160">
        <v>1209.1260212121213</v>
      </c>
      <c r="M41" s="160">
        <v>104.3311966741735</v>
      </c>
      <c r="N41" s="160">
        <v>26.323534970493061</v>
      </c>
      <c r="O41" s="160">
        <v>28.586654785814009</v>
      </c>
      <c r="P41" s="160">
        <v>-28.954724700512262</v>
      </c>
      <c r="Q41" s="160">
        <v>6.5893490555555561</v>
      </c>
      <c r="R41" s="160">
        <v>0.25919055555555554</v>
      </c>
      <c r="S41" s="160">
        <v>4.7593465444044423</v>
      </c>
      <c r="T41" s="160">
        <v>-489.37184900000005</v>
      </c>
      <c r="U41" s="160">
        <v>-43.104435833525834</v>
      </c>
      <c r="V41" s="160">
        <v>0</v>
      </c>
      <c r="W41" s="160">
        <v>1045.6339586253871</v>
      </c>
    </row>
    <row r="42" spans="1:23" ht="14.4" hidden="1" customHeight="1" outlineLevel="2">
      <c r="A42" s="363"/>
      <c r="B42" s="365"/>
      <c r="C42" s="151" t="str">
        <f t="shared" si="0"/>
        <v/>
      </c>
      <c r="D42" s="270"/>
      <c r="E42" s="161"/>
      <c r="F42" s="162"/>
      <c r="G42" s="162"/>
      <c r="H42" s="162"/>
      <c r="I42" s="162"/>
      <c r="J42" s="162"/>
      <c r="K42" s="162"/>
      <c r="L42" s="162"/>
      <c r="M42" s="162"/>
      <c r="N42" s="162"/>
      <c r="O42" s="162"/>
      <c r="P42" s="162"/>
      <c r="Q42" s="162"/>
      <c r="R42" s="162"/>
      <c r="S42" s="162"/>
      <c r="T42" s="162"/>
      <c r="U42" s="162"/>
      <c r="V42" s="162"/>
      <c r="W42" s="162"/>
    </row>
    <row r="43" spans="1:23" ht="14.4" hidden="1" customHeight="1" outlineLevel="2">
      <c r="A43" s="363"/>
      <c r="B43" s="365"/>
      <c r="C43" s="151" t="str">
        <f t="shared" si="0"/>
        <v>Industrie</v>
      </c>
      <c r="D43" s="270"/>
      <c r="E43" s="172" t="s">
        <v>0</v>
      </c>
      <c r="F43" s="156">
        <v>10.318644626420003</v>
      </c>
      <c r="G43" s="156">
        <v>0</v>
      </c>
      <c r="H43" s="156">
        <v>31.798889573736361</v>
      </c>
      <c r="I43" s="156">
        <v>0</v>
      </c>
      <c r="J43" s="156">
        <v>122.13725650000002</v>
      </c>
      <c r="K43" s="156">
        <v>0</v>
      </c>
      <c r="L43" s="156">
        <v>0</v>
      </c>
      <c r="M43" s="156">
        <v>0</v>
      </c>
      <c r="N43" s="156">
        <v>15.07633527777778</v>
      </c>
      <c r="O43" s="156">
        <v>4.5361330555555552</v>
      </c>
      <c r="P43" s="156">
        <v>1.0714586421915442</v>
      </c>
      <c r="Q43" s="156">
        <v>0.59537055555555551</v>
      </c>
      <c r="R43" s="156">
        <v>0</v>
      </c>
      <c r="S43" s="156">
        <v>1.4743611111111112E-2</v>
      </c>
      <c r="T43" s="156">
        <v>115.65608999999999</v>
      </c>
      <c r="U43" s="156">
        <v>18.599047500192498</v>
      </c>
      <c r="V43" s="156">
        <v>0</v>
      </c>
      <c r="W43" s="164">
        <v>319.80396934254043</v>
      </c>
    </row>
    <row r="44" spans="1:23" ht="14.4" hidden="1" customHeight="1" outlineLevel="2">
      <c r="A44" s="363"/>
      <c r="B44" s="365"/>
      <c r="C44" s="151" t="str">
        <f t="shared" si="0"/>
        <v>Transport</v>
      </c>
      <c r="D44" s="270"/>
      <c r="E44" s="172" t="s">
        <v>1</v>
      </c>
      <c r="F44" s="156">
        <v>0</v>
      </c>
      <c r="G44" s="156">
        <v>0</v>
      </c>
      <c r="H44" s="156">
        <v>475.96335269237244</v>
      </c>
      <c r="I44" s="156">
        <v>0</v>
      </c>
      <c r="J44" s="156">
        <v>1.8942870000000003</v>
      </c>
      <c r="K44" s="156">
        <v>0</v>
      </c>
      <c r="L44" s="156">
        <v>0</v>
      </c>
      <c r="M44" s="156">
        <v>0</v>
      </c>
      <c r="N44" s="156">
        <v>0</v>
      </c>
      <c r="O44" s="156">
        <v>0</v>
      </c>
      <c r="P44" s="156">
        <v>37.188256545358975</v>
      </c>
      <c r="Q44" s="156">
        <v>0</v>
      </c>
      <c r="R44" s="156">
        <v>0</v>
      </c>
      <c r="S44" s="156">
        <v>0</v>
      </c>
      <c r="T44" s="156">
        <v>10.07993007</v>
      </c>
      <c r="U44" s="156">
        <v>0</v>
      </c>
      <c r="V44" s="156">
        <v>0</v>
      </c>
      <c r="W44" s="164">
        <v>525.12582630773147</v>
      </c>
    </row>
    <row r="45" spans="1:23" ht="14.4" hidden="1" customHeight="1" outlineLevel="2">
      <c r="A45" s="363"/>
      <c r="B45" s="365"/>
      <c r="C45" s="151" t="str">
        <f t="shared" si="0"/>
        <v>Résidentiel</v>
      </c>
      <c r="D45" s="270"/>
      <c r="E45" s="172" t="s">
        <v>221</v>
      </c>
      <c r="F45" s="156">
        <v>0.28361423905000005</v>
      </c>
      <c r="G45" s="156">
        <v>0</v>
      </c>
      <c r="H45" s="156">
        <v>50.740146891881786</v>
      </c>
      <c r="I45" s="156">
        <v>0</v>
      </c>
      <c r="J45" s="156">
        <v>132.15121725</v>
      </c>
      <c r="K45" s="156">
        <v>0</v>
      </c>
      <c r="L45" s="156">
        <v>0</v>
      </c>
      <c r="M45" s="156">
        <v>0</v>
      </c>
      <c r="N45" s="156">
        <v>74.953719722222218</v>
      </c>
      <c r="O45" s="156">
        <v>0</v>
      </c>
      <c r="P45" s="156">
        <v>0</v>
      </c>
      <c r="Q45" s="156">
        <v>0</v>
      </c>
      <c r="R45" s="156">
        <v>26.665051666666663</v>
      </c>
      <c r="S45" s="156">
        <v>1.98639250004</v>
      </c>
      <c r="T45" s="156">
        <v>159.72207699999998</v>
      </c>
      <c r="U45" s="156">
        <v>14.980747222222222</v>
      </c>
      <c r="V45" s="156">
        <v>0</v>
      </c>
      <c r="W45" s="164">
        <v>461.48296649208294</v>
      </c>
    </row>
    <row r="46" spans="1:23" ht="14.4" hidden="1" customHeight="1" outlineLevel="2">
      <c r="A46" s="363"/>
      <c r="B46" s="365"/>
      <c r="C46" s="151" t="str">
        <f t="shared" si="0"/>
        <v>Tertiaire</v>
      </c>
      <c r="D46" s="270"/>
      <c r="E46" s="172" t="s">
        <v>222</v>
      </c>
      <c r="F46" s="156">
        <v>0.40432760307999993</v>
      </c>
      <c r="G46" s="156">
        <v>0</v>
      </c>
      <c r="H46" s="156">
        <v>33.030604242320379</v>
      </c>
      <c r="I46" s="156">
        <v>0</v>
      </c>
      <c r="J46" s="156">
        <v>70.504948999999996</v>
      </c>
      <c r="K46" s="156">
        <v>0</v>
      </c>
      <c r="L46" s="156">
        <v>0</v>
      </c>
      <c r="M46" s="156">
        <v>0</v>
      </c>
      <c r="N46" s="156">
        <v>3.0152302777777784</v>
      </c>
      <c r="O46" s="156">
        <v>1.7780329919637734</v>
      </c>
      <c r="P46" s="156">
        <v>0</v>
      </c>
      <c r="Q46" s="156">
        <v>1.4820169444444444</v>
      </c>
      <c r="R46" s="156">
        <v>4.7740327777777782</v>
      </c>
      <c r="S46" s="156">
        <v>0.35231138888888891</v>
      </c>
      <c r="T46" s="156">
        <v>137.76728493000002</v>
      </c>
      <c r="U46" s="156">
        <v>9.3080608333333341</v>
      </c>
      <c r="V46" s="156">
        <v>0</v>
      </c>
      <c r="W46" s="164">
        <v>262.41685098958641</v>
      </c>
    </row>
    <row r="47" spans="1:23" ht="14.4" hidden="1" customHeight="1" outlineLevel="2">
      <c r="A47" s="363"/>
      <c r="B47" s="365"/>
      <c r="C47" s="151" t="str">
        <f t="shared" si="0"/>
        <v>Agriculture</v>
      </c>
      <c r="D47" s="270"/>
      <c r="E47" s="172" t="s">
        <v>118</v>
      </c>
      <c r="F47" s="156">
        <v>1.6738093710000002E-2</v>
      </c>
      <c r="G47" s="156">
        <v>0</v>
      </c>
      <c r="H47" s="156">
        <v>35.508479849329859</v>
      </c>
      <c r="I47" s="156">
        <v>0</v>
      </c>
      <c r="J47" s="156">
        <v>2.1960534999999997</v>
      </c>
      <c r="K47" s="156">
        <v>0</v>
      </c>
      <c r="L47" s="156">
        <v>0</v>
      </c>
      <c r="M47" s="156">
        <v>0</v>
      </c>
      <c r="N47" s="156">
        <v>1.6964935406677779</v>
      </c>
      <c r="O47" s="156">
        <v>0</v>
      </c>
      <c r="P47" s="156">
        <v>1.834336902240338</v>
      </c>
      <c r="Q47" s="156">
        <v>0.43157000000000006</v>
      </c>
      <c r="R47" s="156">
        <v>0</v>
      </c>
      <c r="S47" s="156">
        <v>0.29222750000000003</v>
      </c>
      <c r="T47" s="156">
        <v>8.4794180000000026</v>
      </c>
      <c r="U47" s="156">
        <v>0.21658055555555558</v>
      </c>
      <c r="V47" s="156">
        <v>0</v>
      </c>
      <c r="W47" s="164">
        <v>50.671897941503538</v>
      </c>
    </row>
    <row r="48" spans="1:23" ht="14.4" hidden="1" customHeight="1" outlineLevel="2">
      <c r="A48" s="363"/>
      <c r="B48" s="365"/>
      <c r="C48" s="151" t="str">
        <f t="shared" si="0"/>
        <v>Puits technologiques</v>
      </c>
      <c r="D48" s="270"/>
      <c r="E48" s="172" t="s">
        <v>223</v>
      </c>
      <c r="F48" s="156">
        <v>0</v>
      </c>
      <c r="G48" s="156">
        <v>0</v>
      </c>
      <c r="H48" s="156">
        <v>0</v>
      </c>
      <c r="I48" s="156">
        <v>0</v>
      </c>
      <c r="J48" s="156">
        <v>0</v>
      </c>
      <c r="K48" s="156">
        <v>0</v>
      </c>
      <c r="L48" s="156">
        <v>0</v>
      </c>
      <c r="M48" s="156">
        <v>0</v>
      </c>
      <c r="N48" s="156">
        <v>0</v>
      </c>
      <c r="O48" s="156">
        <v>0</v>
      </c>
      <c r="P48" s="156">
        <v>0</v>
      </c>
      <c r="Q48" s="156">
        <v>0</v>
      </c>
      <c r="R48" s="156">
        <v>0</v>
      </c>
      <c r="S48" s="156">
        <v>0</v>
      </c>
      <c r="T48" s="156">
        <v>0</v>
      </c>
      <c r="U48" s="156">
        <v>0</v>
      </c>
      <c r="V48" s="156">
        <v>0</v>
      </c>
      <c r="W48" s="164">
        <v>0</v>
      </c>
    </row>
    <row r="49" spans="1:23" ht="14.4" hidden="1" customHeight="1" outlineLevel="2">
      <c r="A49" s="363"/>
      <c r="B49" s="365"/>
      <c r="C49" s="151" t="str">
        <f t="shared" si="0"/>
        <v>Consommation finale énergétique</v>
      </c>
      <c r="D49" s="270"/>
      <c r="E49" s="171" t="s">
        <v>224</v>
      </c>
      <c r="F49" s="160">
        <v>11.023324562260003</v>
      </c>
      <c r="G49" s="160">
        <v>0</v>
      </c>
      <c r="H49" s="160">
        <v>627.04147324964083</v>
      </c>
      <c r="I49" s="160">
        <v>0</v>
      </c>
      <c r="J49" s="160">
        <v>328.88376325000007</v>
      </c>
      <c r="K49" s="160">
        <v>0</v>
      </c>
      <c r="L49" s="160">
        <v>0</v>
      </c>
      <c r="M49" s="160">
        <v>0</v>
      </c>
      <c r="N49" s="160">
        <v>94.741778818445553</v>
      </c>
      <c r="O49" s="160">
        <v>6.3141660475193291</v>
      </c>
      <c r="P49" s="160">
        <v>40.094052089790857</v>
      </c>
      <c r="Q49" s="160">
        <v>2.5089575000000002</v>
      </c>
      <c r="R49" s="160">
        <v>31.43908444444444</v>
      </c>
      <c r="S49" s="160">
        <v>2.6456750000400002</v>
      </c>
      <c r="T49" s="160">
        <v>431.70480000000003</v>
      </c>
      <c r="U49" s="160">
        <v>43.104436111303606</v>
      </c>
      <c r="V49" s="160">
        <v>0</v>
      </c>
      <c r="W49" s="160">
        <v>1619.501511073445</v>
      </c>
    </row>
    <row r="50" spans="1:23" ht="14.4" hidden="1" customHeight="1" outlineLevel="2">
      <c r="A50" s="363"/>
      <c r="B50" s="365"/>
      <c r="C50" s="151" t="str">
        <f t="shared" si="0"/>
        <v>Consommation finale non énergétique</v>
      </c>
      <c r="D50" s="270"/>
      <c r="E50" s="170" t="s">
        <v>225</v>
      </c>
      <c r="F50" s="156">
        <v>3.1200159203999993</v>
      </c>
      <c r="G50" s="156">
        <v>0</v>
      </c>
      <c r="H50" s="156">
        <v>139.5725242203051</v>
      </c>
      <c r="I50" s="156">
        <v>0</v>
      </c>
      <c r="J50" s="156">
        <v>13.804214250000001</v>
      </c>
      <c r="K50" s="156">
        <v>0</v>
      </c>
      <c r="L50" s="156">
        <v>0</v>
      </c>
      <c r="M50" s="156">
        <v>0</v>
      </c>
      <c r="N50" s="156">
        <v>0</v>
      </c>
      <c r="O50" s="156">
        <v>0</v>
      </c>
      <c r="P50" s="156">
        <v>0</v>
      </c>
      <c r="Q50" s="156">
        <v>0</v>
      </c>
      <c r="R50" s="156">
        <v>0</v>
      </c>
      <c r="S50" s="156">
        <v>0</v>
      </c>
      <c r="T50" s="156">
        <v>0</v>
      </c>
      <c r="U50" s="156">
        <v>0</v>
      </c>
      <c r="V50" s="156">
        <v>0</v>
      </c>
      <c r="W50" s="164">
        <v>156.49675439070509</v>
      </c>
    </row>
    <row r="51" spans="1:23" ht="14.4" hidden="1" customHeight="1" outlineLevel="2">
      <c r="A51" s="363"/>
      <c r="B51" s="365"/>
      <c r="C51" s="151" t="str">
        <f t="shared" si="0"/>
        <v>Consommation finale</v>
      </c>
      <c r="D51" s="270"/>
      <c r="E51" s="171" t="s">
        <v>226</v>
      </c>
      <c r="F51" s="160">
        <v>14.143340482660001</v>
      </c>
      <c r="G51" s="160">
        <v>0</v>
      </c>
      <c r="H51" s="160">
        <v>766.61399746994596</v>
      </c>
      <c r="I51" s="160">
        <v>0</v>
      </c>
      <c r="J51" s="160">
        <v>342.6879775000001</v>
      </c>
      <c r="K51" s="160">
        <v>0</v>
      </c>
      <c r="L51" s="160">
        <v>0</v>
      </c>
      <c r="M51" s="160">
        <v>0</v>
      </c>
      <c r="N51" s="160">
        <v>94.741778818445553</v>
      </c>
      <c r="O51" s="160">
        <v>6.3141660475193291</v>
      </c>
      <c r="P51" s="160">
        <v>40.094052089790857</v>
      </c>
      <c r="Q51" s="160">
        <v>2.5089575000000002</v>
      </c>
      <c r="R51" s="160">
        <v>31.43908444444444</v>
      </c>
      <c r="S51" s="160">
        <v>2.6456750000400002</v>
      </c>
      <c r="T51" s="160">
        <v>431.70480000000003</v>
      </c>
      <c r="U51" s="160">
        <v>43.104436111303606</v>
      </c>
      <c r="V51" s="160">
        <v>0</v>
      </c>
      <c r="W51" s="160">
        <v>1775.9982654641501</v>
      </c>
    </row>
    <row r="52" spans="1:23" outlineLevel="1" collapsed="1">
      <c r="A52" s="363"/>
      <c r="B52" s="365"/>
      <c r="C52" s="151" t="str">
        <f t="shared" si="0"/>
        <v/>
      </c>
      <c r="D52" s="269"/>
      <c r="M52" s="269"/>
    </row>
    <row r="53" spans="1:23" ht="28.2" outlineLevel="1">
      <c r="A53" s="363"/>
      <c r="B53" s="365"/>
      <c r="C53" s="151">
        <f t="shared" si="0"/>
        <v>2020</v>
      </c>
      <c r="D53" s="269"/>
      <c r="E53" s="654">
        <v>2020</v>
      </c>
      <c r="F53" s="655"/>
      <c r="G53" s="655"/>
      <c r="H53" s="655"/>
      <c r="I53" s="655"/>
      <c r="J53" s="655"/>
      <c r="K53" s="655"/>
      <c r="L53" s="656"/>
      <c r="M53" s="272"/>
      <c r="N53" s="273"/>
      <c r="O53" s="273"/>
      <c r="P53" s="273"/>
      <c r="Q53" s="273"/>
      <c r="R53" s="273"/>
      <c r="S53" s="273"/>
      <c r="T53" s="273"/>
      <c r="U53" s="273"/>
      <c r="V53" s="273"/>
      <c r="W53" s="273"/>
    </row>
    <row r="54" spans="1:23" ht="14.4" hidden="1" customHeight="1" outlineLevel="2">
      <c r="A54" s="363"/>
      <c r="B54" s="365"/>
      <c r="C54" s="151" t="str">
        <f t="shared" si="0"/>
        <v>TWh</v>
      </c>
      <c r="D54" s="270"/>
      <c r="E54" s="662" t="s">
        <v>184</v>
      </c>
      <c r="F54" s="659" t="s">
        <v>185</v>
      </c>
      <c r="G54" s="659" t="s">
        <v>186</v>
      </c>
      <c r="H54" s="659" t="s">
        <v>187</v>
      </c>
      <c r="I54" s="657" t="s">
        <v>188</v>
      </c>
      <c r="J54" s="657" t="s">
        <v>189</v>
      </c>
      <c r="K54" s="657" t="s">
        <v>190</v>
      </c>
      <c r="L54" s="659" t="s">
        <v>191</v>
      </c>
      <c r="M54" s="659" t="s">
        <v>192</v>
      </c>
      <c r="N54" s="659" t="s">
        <v>193</v>
      </c>
      <c r="O54" s="660"/>
      <c r="P54" s="660"/>
      <c r="Q54" s="660"/>
      <c r="R54" s="660"/>
      <c r="S54" s="661"/>
      <c r="T54" s="657" t="s">
        <v>194</v>
      </c>
      <c r="U54" s="657" t="s">
        <v>195</v>
      </c>
      <c r="V54" s="657" t="s">
        <v>196</v>
      </c>
      <c r="W54" s="657" t="s">
        <v>144</v>
      </c>
    </row>
    <row r="55" spans="1:23" ht="36" hidden="1" customHeight="1" outlineLevel="2">
      <c r="A55" s="363"/>
      <c r="B55" s="365"/>
      <c r="C55" s="151" t="str">
        <f t="shared" si="0"/>
        <v/>
      </c>
      <c r="D55" s="270"/>
      <c r="E55" s="662"/>
      <c r="F55" s="659"/>
      <c r="G55" s="659"/>
      <c r="H55" s="659"/>
      <c r="I55" s="658"/>
      <c r="J55" s="658"/>
      <c r="K55" s="658"/>
      <c r="L55" s="659"/>
      <c r="M55" s="659"/>
      <c r="N55" s="153" t="s">
        <v>197</v>
      </c>
      <c r="O55" s="153" t="s">
        <v>24</v>
      </c>
      <c r="P55" s="153" t="s">
        <v>198</v>
      </c>
      <c r="Q55" s="153" t="s">
        <v>199</v>
      </c>
      <c r="R55" s="154" t="s">
        <v>200</v>
      </c>
      <c r="S55" s="153" t="s">
        <v>201</v>
      </c>
      <c r="T55" s="658"/>
      <c r="U55" s="658"/>
      <c r="V55" s="658"/>
      <c r="W55" s="658"/>
    </row>
    <row r="56" spans="1:23" ht="14.4" hidden="1" customHeight="1" outlineLevel="2">
      <c r="A56" s="363"/>
      <c r="B56" s="365"/>
      <c r="C56" s="151" t="str">
        <f t="shared" si="0"/>
        <v>Production d'énergie primaire</v>
      </c>
      <c r="D56" s="270"/>
      <c r="E56" s="155" t="s">
        <v>202</v>
      </c>
      <c r="F56" s="156">
        <v>0</v>
      </c>
      <c r="G56" s="156">
        <v>9.7977867342210008</v>
      </c>
      <c r="H56" s="165">
        <v>0</v>
      </c>
      <c r="I56" s="156">
        <v>0</v>
      </c>
      <c r="J56" s="156">
        <v>0.18111850000000002</v>
      </c>
      <c r="K56" s="156">
        <v>0</v>
      </c>
      <c r="L56" s="165">
        <v>1072.2208090909091</v>
      </c>
      <c r="M56" s="165">
        <v>115.72304451809002</v>
      </c>
      <c r="N56" s="165">
        <v>114.24305924309468</v>
      </c>
      <c r="O56" s="165">
        <v>33.631608055405756</v>
      </c>
      <c r="P56" s="165">
        <v>0</v>
      </c>
      <c r="Q56" s="165">
        <v>9.2815441223735728</v>
      </c>
      <c r="R56" s="165">
        <v>32.908596666666668</v>
      </c>
      <c r="S56" s="165">
        <v>8.1133079726239394</v>
      </c>
      <c r="T56" s="165">
        <v>0</v>
      </c>
      <c r="U56" s="165">
        <v>0</v>
      </c>
      <c r="V56" s="165">
        <v>0</v>
      </c>
      <c r="W56" s="166">
        <v>1396.1008749033847</v>
      </c>
    </row>
    <row r="57" spans="1:23" ht="14.4" hidden="1" customHeight="1" outlineLevel="2">
      <c r="A57" s="363"/>
      <c r="B57" s="365"/>
      <c r="C57" s="151" t="str">
        <f t="shared" si="0"/>
        <v>Importations</v>
      </c>
      <c r="D57" s="270"/>
      <c r="E57" s="155" t="s">
        <v>203</v>
      </c>
      <c r="F57" s="165">
        <v>59.346560356893349</v>
      </c>
      <c r="G57" s="165">
        <v>394.73997109464659</v>
      </c>
      <c r="H57" s="165">
        <v>515.26337584814883</v>
      </c>
      <c r="I57" s="157">
        <v>0</v>
      </c>
      <c r="J57" s="157">
        <v>479.42224425000006</v>
      </c>
      <c r="K57" s="157">
        <v>0</v>
      </c>
      <c r="L57" s="165">
        <v>0</v>
      </c>
      <c r="M57" s="165">
        <v>0</v>
      </c>
      <c r="N57" s="165">
        <v>2.6631252777777781</v>
      </c>
      <c r="O57" s="165">
        <v>0</v>
      </c>
      <c r="P57" s="165">
        <v>13.962014778928699</v>
      </c>
      <c r="Q57" s="165">
        <v>0</v>
      </c>
      <c r="R57" s="165">
        <v>0</v>
      </c>
      <c r="S57" s="165">
        <v>0</v>
      </c>
      <c r="T57" s="165">
        <v>19.536102</v>
      </c>
      <c r="U57" s="165">
        <v>0</v>
      </c>
      <c r="V57" s="165">
        <v>0</v>
      </c>
      <c r="W57" s="166">
        <v>1484.9333936063952</v>
      </c>
    </row>
    <row r="58" spans="1:23" ht="14.4" hidden="1" customHeight="1" outlineLevel="2">
      <c r="A58" s="363"/>
      <c r="B58" s="365"/>
      <c r="C58" s="151" t="str">
        <f t="shared" si="0"/>
        <v>Exportations</v>
      </c>
      <c r="D58" s="270"/>
      <c r="E58" s="155" t="s">
        <v>204</v>
      </c>
      <c r="F58" s="165">
        <v>-9.6972882210000014E-2</v>
      </c>
      <c r="G58" s="165">
        <v>-1.4488664385590002</v>
      </c>
      <c r="H58" s="165">
        <v>-154.00833143808623</v>
      </c>
      <c r="I58" s="157">
        <v>0</v>
      </c>
      <c r="J58" s="157">
        <v>-95.022441999999998</v>
      </c>
      <c r="K58" s="157">
        <v>0</v>
      </c>
      <c r="L58" s="165">
        <v>0</v>
      </c>
      <c r="M58" s="165">
        <v>0</v>
      </c>
      <c r="N58" s="165">
        <v>-2.0287163888888888</v>
      </c>
      <c r="O58" s="165">
        <v>0</v>
      </c>
      <c r="P58" s="165">
        <v>-7.1333416709442901</v>
      </c>
      <c r="Q58" s="165">
        <v>0</v>
      </c>
      <c r="R58" s="165">
        <v>0</v>
      </c>
      <c r="S58" s="165">
        <v>0</v>
      </c>
      <c r="T58" s="165">
        <v>-64.575296000000009</v>
      </c>
      <c r="U58" s="165">
        <v>0</v>
      </c>
      <c r="V58" s="165">
        <v>0</v>
      </c>
      <c r="W58" s="166">
        <v>-324.31396681868841</v>
      </c>
    </row>
    <row r="59" spans="1:23" ht="14.4" hidden="1" customHeight="1" outlineLevel="2">
      <c r="A59" s="363"/>
      <c r="B59" s="365"/>
      <c r="C59" s="151" t="str">
        <f t="shared" si="0"/>
        <v>Soutes maritimes internationales</v>
      </c>
      <c r="D59" s="270"/>
      <c r="E59" s="155" t="s">
        <v>205</v>
      </c>
      <c r="F59" s="156">
        <v>0</v>
      </c>
      <c r="G59" s="156">
        <v>0</v>
      </c>
      <c r="H59" s="156">
        <v>-11.254966292131096</v>
      </c>
      <c r="I59" s="156">
        <v>0</v>
      </c>
      <c r="J59" s="156">
        <v>0</v>
      </c>
      <c r="K59" s="156">
        <v>0</v>
      </c>
      <c r="L59" s="156">
        <v>0</v>
      </c>
      <c r="M59" s="156">
        <v>0</v>
      </c>
      <c r="N59" s="156">
        <v>0</v>
      </c>
      <c r="O59" s="156">
        <v>0</v>
      </c>
      <c r="P59" s="156">
        <v>0</v>
      </c>
      <c r="Q59" s="156">
        <v>0</v>
      </c>
      <c r="R59" s="156">
        <v>0</v>
      </c>
      <c r="S59" s="156">
        <v>0</v>
      </c>
      <c r="T59" s="165">
        <v>0</v>
      </c>
      <c r="U59" s="165">
        <v>0</v>
      </c>
      <c r="V59" s="156">
        <v>0</v>
      </c>
      <c r="W59" s="166">
        <v>-11.254966292131096</v>
      </c>
    </row>
    <row r="60" spans="1:23" ht="14.4" hidden="1" customHeight="1" outlineLevel="2">
      <c r="A60" s="363"/>
      <c r="B60" s="365"/>
      <c r="C60" s="151" t="str">
        <f t="shared" si="0"/>
        <v>Soutes aériennes internationales</v>
      </c>
      <c r="D60" s="270"/>
      <c r="E60" s="155" t="s">
        <v>206</v>
      </c>
      <c r="F60" s="156">
        <v>0</v>
      </c>
      <c r="G60" s="156">
        <v>0</v>
      </c>
      <c r="H60" s="156">
        <v>-30.293164942593918</v>
      </c>
      <c r="I60" s="156">
        <v>0</v>
      </c>
      <c r="J60" s="156">
        <v>0</v>
      </c>
      <c r="K60" s="156">
        <v>0</v>
      </c>
      <c r="L60" s="156">
        <v>0</v>
      </c>
      <c r="M60" s="156">
        <v>0</v>
      </c>
      <c r="N60" s="156">
        <v>0</v>
      </c>
      <c r="O60" s="156">
        <v>0</v>
      </c>
      <c r="P60" s="156">
        <v>0</v>
      </c>
      <c r="Q60" s="156">
        <v>0</v>
      </c>
      <c r="R60" s="156">
        <v>0</v>
      </c>
      <c r="S60" s="156">
        <v>0</v>
      </c>
      <c r="T60" s="165">
        <v>0</v>
      </c>
      <c r="U60" s="165">
        <v>0</v>
      </c>
      <c r="V60" s="156">
        <v>0</v>
      </c>
      <c r="W60" s="166">
        <v>-30.293164942593918</v>
      </c>
    </row>
    <row r="61" spans="1:23" ht="14.4" hidden="1" customHeight="1" outlineLevel="2">
      <c r="A61" s="363"/>
      <c r="B61" s="365"/>
      <c r="C61" s="151" t="str">
        <f t="shared" si="0"/>
        <v>Variations de stocks (+ = déstockage, - = stockage)</v>
      </c>
      <c r="D61" s="270"/>
      <c r="E61" s="155" t="s">
        <v>207</v>
      </c>
      <c r="F61" s="165">
        <v>2.2754338241033341</v>
      </c>
      <c r="G61" s="165">
        <v>1.7895047303380001</v>
      </c>
      <c r="H61" s="165">
        <v>-1.4741451662241043</v>
      </c>
      <c r="I61" s="157">
        <v>0</v>
      </c>
      <c r="J61" s="157">
        <v>21.247482000000002</v>
      </c>
      <c r="K61" s="157">
        <v>0</v>
      </c>
      <c r="L61" s="165">
        <v>0</v>
      </c>
      <c r="M61" s="165">
        <v>0</v>
      </c>
      <c r="N61" s="165">
        <v>0</v>
      </c>
      <c r="O61" s="165">
        <v>0</v>
      </c>
      <c r="P61" s="165">
        <v>0</v>
      </c>
      <c r="Q61" s="165">
        <v>0</v>
      </c>
      <c r="R61" s="165">
        <v>0</v>
      </c>
      <c r="S61" s="165">
        <v>0</v>
      </c>
      <c r="T61" s="165">
        <v>0</v>
      </c>
      <c r="U61" s="165">
        <v>0</v>
      </c>
      <c r="V61" s="165">
        <v>0</v>
      </c>
      <c r="W61" s="166">
        <v>23.83827538821723</v>
      </c>
    </row>
    <row r="62" spans="1:23" ht="14.4" hidden="1" customHeight="1" outlineLevel="2">
      <c r="A62" s="363"/>
      <c r="B62" s="365"/>
      <c r="C62" s="151" t="str">
        <f t="shared" si="0"/>
        <v>Total approvisionnement / consommation primaire</v>
      </c>
      <c r="D62" s="270"/>
      <c r="E62" s="159" t="s">
        <v>208</v>
      </c>
      <c r="F62" s="167">
        <v>61.525021298786683</v>
      </c>
      <c r="G62" s="167">
        <v>404.87839612064664</v>
      </c>
      <c r="H62" s="167">
        <v>318.2327680091135</v>
      </c>
      <c r="I62" s="167">
        <v>0</v>
      </c>
      <c r="J62" s="167">
        <v>405.82840275000007</v>
      </c>
      <c r="K62" s="167">
        <v>0</v>
      </c>
      <c r="L62" s="167">
        <v>1072.2208090909091</v>
      </c>
      <c r="M62" s="167">
        <v>115.72304451809002</v>
      </c>
      <c r="N62" s="167">
        <v>114.87746813198356</v>
      </c>
      <c r="O62" s="167">
        <v>33.631608055405756</v>
      </c>
      <c r="P62" s="167">
        <v>6.8286731079844092</v>
      </c>
      <c r="Q62" s="167">
        <v>9.2815441223735728</v>
      </c>
      <c r="R62" s="167">
        <v>32.908596666666668</v>
      </c>
      <c r="S62" s="167">
        <v>8.1133079726239394</v>
      </c>
      <c r="T62" s="167">
        <v>-45.039194000000009</v>
      </c>
      <c r="U62" s="167">
        <v>0</v>
      </c>
      <c r="V62" s="167">
        <v>0</v>
      </c>
      <c r="W62" s="167">
        <v>2539.010445844584</v>
      </c>
    </row>
    <row r="63" spans="1:23" ht="14.4" hidden="1" customHeight="1" outlineLevel="2">
      <c r="A63" s="363"/>
      <c r="B63" s="365"/>
      <c r="C63" s="151" t="str">
        <f t="shared" si="0"/>
        <v/>
      </c>
      <c r="D63" s="270"/>
      <c r="E63" s="161"/>
      <c r="F63" s="168"/>
      <c r="G63" s="168"/>
      <c r="H63" s="168"/>
      <c r="I63" s="162"/>
      <c r="J63" s="162"/>
      <c r="K63" s="162"/>
      <c r="L63" s="168"/>
      <c r="M63" s="168"/>
      <c r="N63" s="168"/>
      <c r="O63" s="168"/>
      <c r="P63" s="168"/>
      <c r="Q63" s="168"/>
      <c r="R63" s="168"/>
      <c r="S63" s="168"/>
      <c r="T63" s="168"/>
      <c r="U63" s="168"/>
      <c r="V63" s="168"/>
      <c r="W63" s="168"/>
    </row>
    <row r="64" spans="1:23" ht="14.4" hidden="1" customHeight="1" outlineLevel="2">
      <c r="A64" s="363"/>
      <c r="B64" s="365"/>
      <c r="C64" s="151" t="str">
        <f t="shared" si="0"/>
        <v>Écart statistique</v>
      </c>
      <c r="D64" s="270"/>
      <c r="E64" s="163" t="s">
        <v>209</v>
      </c>
      <c r="F64" s="156">
        <v>-3.1696853392377875</v>
      </c>
      <c r="G64" s="156">
        <v>7.594656734105321</v>
      </c>
      <c r="H64" s="156">
        <v>3.8234994290490683</v>
      </c>
      <c r="I64" s="156">
        <v>0</v>
      </c>
      <c r="J64" s="156">
        <v>-0.68950250000000013</v>
      </c>
      <c r="K64" s="156">
        <v>0</v>
      </c>
      <c r="L64" s="156">
        <v>0</v>
      </c>
      <c r="M64" s="156">
        <v>0</v>
      </c>
      <c r="N64" s="156">
        <v>0</v>
      </c>
      <c r="O64" s="156">
        <v>0</v>
      </c>
      <c r="P64" s="156">
        <v>0</v>
      </c>
      <c r="Q64" s="156">
        <v>0</v>
      </c>
      <c r="R64" s="156">
        <v>0</v>
      </c>
      <c r="S64" s="156">
        <v>0</v>
      </c>
      <c r="T64" s="156">
        <v>2.0843062301020092</v>
      </c>
      <c r="U64" s="156">
        <v>0</v>
      </c>
      <c r="V64" s="165">
        <v>0</v>
      </c>
      <c r="W64" s="166">
        <v>9.6432745540186104</v>
      </c>
    </row>
    <row r="65" spans="1:23" ht="14.4" hidden="1" customHeight="1" outlineLevel="2">
      <c r="A65" s="363"/>
      <c r="B65" s="365"/>
      <c r="C65" s="151" t="str">
        <f t="shared" si="0"/>
        <v>Production d'électricité</v>
      </c>
      <c r="D65" s="270"/>
      <c r="E65" s="163" t="s">
        <v>13</v>
      </c>
      <c r="F65" s="156">
        <v>14.864431241687887</v>
      </c>
      <c r="G65" s="156">
        <v>0</v>
      </c>
      <c r="H65" s="156">
        <v>13.418152502737103</v>
      </c>
      <c r="I65" s="156">
        <v>0</v>
      </c>
      <c r="J65" s="156">
        <v>55.436136268601025</v>
      </c>
      <c r="K65" s="156">
        <v>0</v>
      </c>
      <c r="L65" s="156">
        <v>1072.2208090909091</v>
      </c>
      <c r="M65" s="156">
        <v>115.67142051809002</v>
      </c>
      <c r="N65" s="156">
        <v>17.347825951117827</v>
      </c>
      <c r="O65" s="156">
        <v>11.678824122543197</v>
      </c>
      <c r="P65" s="156">
        <v>0</v>
      </c>
      <c r="Q65" s="156">
        <v>5.2886919634287652</v>
      </c>
      <c r="R65" s="156">
        <v>0</v>
      </c>
      <c r="S65" s="156">
        <v>1.3922112325408571</v>
      </c>
      <c r="T65" s="156">
        <v>-527.28039181222232</v>
      </c>
      <c r="U65" s="156">
        <v>0</v>
      </c>
      <c r="V65" s="165">
        <v>0</v>
      </c>
      <c r="W65" s="166">
        <v>780.03811107943341</v>
      </c>
    </row>
    <row r="66" spans="1:23" ht="14.4" hidden="1" customHeight="1" outlineLevel="2">
      <c r="A66" s="363"/>
      <c r="B66" s="365"/>
      <c r="C66" s="151" t="str">
        <f t="shared" si="0"/>
        <v>Production de chaleur</v>
      </c>
      <c r="D66" s="270"/>
      <c r="E66" s="163" t="s">
        <v>210</v>
      </c>
      <c r="F66" s="156">
        <v>1.5729367626898902</v>
      </c>
      <c r="G66" s="156">
        <v>0</v>
      </c>
      <c r="H66" s="156">
        <v>0.20358189452574635</v>
      </c>
      <c r="I66" s="156">
        <v>0</v>
      </c>
      <c r="J66" s="156">
        <v>21.08911448139898</v>
      </c>
      <c r="K66" s="156">
        <v>0</v>
      </c>
      <c r="L66" s="156">
        <v>0</v>
      </c>
      <c r="M66" s="156">
        <v>0</v>
      </c>
      <c r="N66" s="156">
        <v>7.8982729217883261</v>
      </c>
      <c r="O66" s="156">
        <v>16.49482411485047</v>
      </c>
      <c r="P66" s="156">
        <v>0</v>
      </c>
      <c r="Q66" s="156">
        <v>3.0673174902469076</v>
      </c>
      <c r="R66" s="156">
        <v>0.25705111111111106</v>
      </c>
      <c r="S66" s="156">
        <v>3.9939867016268904</v>
      </c>
      <c r="T66" s="156">
        <v>0</v>
      </c>
      <c r="U66" s="156">
        <v>-45.831488617908406</v>
      </c>
      <c r="V66" s="165">
        <v>0</v>
      </c>
      <c r="W66" s="166">
        <v>8.7455968603299112</v>
      </c>
    </row>
    <row r="67" spans="1:23" ht="14.4" hidden="1" customHeight="1" outlineLevel="2">
      <c r="A67" s="363"/>
      <c r="B67" s="365"/>
      <c r="C67" s="151" t="str">
        <f t="shared" si="0"/>
        <v>Production de gaz renouvelable</v>
      </c>
      <c r="D67" s="270"/>
      <c r="E67" s="163" t="s">
        <v>211</v>
      </c>
      <c r="F67" s="156">
        <v>0</v>
      </c>
      <c r="G67" s="156">
        <v>0</v>
      </c>
      <c r="H67" s="156">
        <v>0</v>
      </c>
      <c r="I67" s="156">
        <v>0</v>
      </c>
      <c r="J67" s="156">
        <v>0</v>
      </c>
      <c r="K67" s="156">
        <v>0</v>
      </c>
      <c r="L67" s="156">
        <v>0</v>
      </c>
      <c r="M67" s="156">
        <v>0</v>
      </c>
      <c r="N67" s="156">
        <v>0</v>
      </c>
      <c r="O67" s="156">
        <v>0</v>
      </c>
      <c r="P67" s="156">
        <v>0</v>
      </c>
      <c r="Q67" s="156">
        <v>-1.9873640000000001</v>
      </c>
      <c r="R67" s="156">
        <v>0</v>
      </c>
      <c r="S67" s="156">
        <v>0</v>
      </c>
      <c r="T67" s="156">
        <v>0</v>
      </c>
      <c r="U67" s="156">
        <v>0</v>
      </c>
      <c r="V67" s="165">
        <v>0</v>
      </c>
      <c r="W67" s="166">
        <v>-1.9873640000000001</v>
      </c>
    </row>
    <row r="68" spans="1:23" ht="14.4" hidden="1" customHeight="1" outlineLevel="2">
      <c r="A68" s="363"/>
      <c r="B68" s="365"/>
      <c r="C68" s="151" t="str">
        <f t="shared" si="0"/>
        <v>Production de gaz de synthèse</v>
      </c>
      <c r="D68" s="270"/>
      <c r="E68" s="163" t="s">
        <v>212</v>
      </c>
      <c r="F68" s="156">
        <v>0</v>
      </c>
      <c r="G68" s="156">
        <v>0</v>
      </c>
      <c r="H68" s="156">
        <v>0</v>
      </c>
      <c r="I68" s="156">
        <v>0</v>
      </c>
      <c r="J68" s="156">
        <v>0</v>
      </c>
      <c r="K68" s="156">
        <v>0</v>
      </c>
      <c r="L68" s="156">
        <v>0</v>
      </c>
      <c r="M68" s="156">
        <v>0</v>
      </c>
      <c r="N68" s="156">
        <v>0</v>
      </c>
      <c r="O68" s="156">
        <v>0</v>
      </c>
      <c r="P68" s="156">
        <v>0</v>
      </c>
      <c r="Q68" s="156">
        <v>0</v>
      </c>
      <c r="R68" s="156">
        <v>0</v>
      </c>
      <c r="S68" s="156">
        <v>0</v>
      </c>
      <c r="T68" s="156">
        <v>0</v>
      </c>
      <c r="U68" s="156">
        <v>0</v>
      </c>
      <c r="V68" s="165">
        <v>0</v>
      </c>
      <c r="W68" s="166">
        <v>0</v>
      </c>
    </row>
    <row r="69" spans="1:23" ht="14.4" hidden="1" customHeight="1" outlineLevel="2">
      <c r="A69" s="363"/>
      <c r="B69" s="365"/>
      <c r="C69" s="151" t="str">
        <f t="shared" si="0"/>
        <v>Raffinage de pétrole</v>
      </c>
      <c r="D69" s="270"/>
      <c r="E69" s="163" t="s">
        <v>213</v>
      </c>
      <c r="F69" s="156">
        <v>0</v>
      </c>
      <c r="G69" s="156">
        <v>440.59076600316865</v>
      </c>
      <c r="H69" s="156">
        <v>-437.66600779015403</v>
      </c>
      <c r="I69" s="156">
        <v>0</v>
      </c>
      <c r="J69" s="156">
        <v>0</v>
      </c>
      <c r="K69" s="156">
        <v>0</v>
      </c>
      <c r="L69" s="156">
        <v>0</v>
      </c>
      <c r="M69" s="156">
        <v>0</v>
      </c>
      <c r="N69" s="156">
        <v>0</v>
      </c>
      <c r="O69" s="156">
        <v>0</v>
      </c>
      <c r="P69" s="156">
        <v>0</v>
      </c>
      <c r="Q69" s="156">
        <v>0</v>
      </c>
      <c r="R69" s="156">
        <v>0</v>
      </c>
      <c r="S69" s="156">
        <v>0</v>
      </c>
      <c r="T69" s="156">
        <v>0</v>
      </c>
      <c r="U69" s="156">
        <v>0</v>
      </c>
      <c r="V69" s="165">
        <v>0</v>
      </c>
      <c r="W69" s="166">
        <v>2.924758213014627</v>
      </c>
    </row>
    <row r="70" spans="1:23" ht="14.4" hidden="1" customHeight="1" outlineLevel="2">
      <c r="A70" s="363"/>
      <c r="B70" s="365"/>
      <c r="C70" s="151" t="str">
        <f t="shared" si="0"/>
        <v>Production de biocarburants</v>
      </c>
      <c r="D70" s="270"/>
      <c r="E70" s="163" t="s">
        <v>214</v>
      </c>
      <c r="F70" s="156">
        <v>0</v>
      </c>
      <c r="G70" s="156">
        <v>0</v>
      </c>
      <c r="H70" s="156">
        <v>0</v>
      </c>
      <c r="I70" s="156">
        <v>0</v>
      </c>
      <c r="J70" s="156">
        <v>0</v>
      </c>
      <c r="K70" s="156">
        <v>0</v>
      </c>
      <c r="L70" s="156">
        <v>0</v>
      </c>
      <c r="M70" s="156">
        <v>0</v>
      </c>
      <c r="N70" s="156">
        <v>0</v>
      </c>
      <c r="O70" s="156">
        <v>0</v>
      </c>
      <c r="P70" s="156">
        <v>-27.31624937979873</v>
      </c>
      <c r="Q70" s="156">
        <v>0</v>
      </c>
      <c r="R70" s="156">
        <v>0</v>
      </c>
      <c r="S70" s="156">
        <v>0</v>
      </c>
      <c r="T70" s="156">
        <v>0</v>
      </c>
      <c r="U70" s="156">
        <v>0</v>
      </c>
      <c r="V70" s="165">
        <v>0</v>
      </c>
      <c r="W70" s="166">
        <v>-27.31624937979873</v>
      </c>
    </row>
    <row r="71" spans="1:23" ht="14.4" hidden="1" customHeight="1" outlineLevel="2">
      <c r="A71" s="363"/>
      <c r="B71" s="365"/>
      <c r="C71" s="151" t="str">
        <f t="shared" ref="C71:C134" si="1">IF(ISBLANK(E71),IF(ISBLANK(F71),"",F71),E71)</f>
        <v>Production d'e-fuels</v>
      </c>
      <c r="D71" s="270"/>
      <c r="E71" s="163" t="s">
        <v>215</v>
      </c>
      <c r="F71" s="156">
        <v>0</v>
      </c>
      <c r="G71" s="156">
        <v>0</v>
      </c>
      <c r="H71" s="156">
        <v>0</v>
      </c>
      <c r="I71" s="156">
        <v>0</v>
      </c>
      <c r="J71" s="156">
        <v>0</v>
      </c>
      <c r="K71" s="156">
        <v>0</v>
      </c>
      <c r="L71" s="156">
        <v>0</v>
      </c>
      <c r="M71" s="156">
        <v>0</v>
      </c>
      <c r="N71" s="156">
        <v>0</v>
      </c>
      <c r="O71" s="156">
        <v>0</v>
      </c>
      <c r="P71" s="156">
        <v>0</v>
      </c>
      <c r="Q71" s="156">
        <v>0</v>
      </c>
      <c r="R71" s="156">
        <v>0</v>
      </c>
      <c r="S71" s="156">
        <v>0</v>
      </c>
      <c r="T71" s="156">
        <v>0</v>
      </c>
      <c r="U71" s="156">
        <v>0</v>
      </c>
      <c r="V71" s="165">
        <v>0</v>
      </c>
      <c r="W71" s="166">
        <v>0</v>
      </c>
    </row>
    <row r="72" spans="1:23" ht="14.4" hidden="1" customHeight="1" outlineLevel="2">
      <c r="A72" s="363"/>
      <c r="B72" s="365"/>
      <c r="C72" s="151" t="str">
        <f t="shared" si="1"/>
        <v>Production d'hydrogène</v>
      </c>
      <c r="D72" s="270"/>
      <c r="E72" s="163" t="s">
        <v>216</v>
      </c>
      <c r="F72" s="156">
        <v>0</v>
      </c>
      <c r="G72" s="156">
        <v>0</v>
      </c>
      <c r="H72" s="156">
        <v>0</v>
      </c>
      <c r="I72" s="156">
        <v>0</v>
      </c>
      <c r="J72" s="156">
        <v>0</v>
      </c>
      <c r="K72" s="156">
        <v>0</v>
      </c>
      <c r="L72" s="156">
        <v>0</v>
      </c>
      <c r="M72" s="156">
        <v>0</v>
      </c>
      <c r="N72" s="156">
        <v>0</v>
      </c>
      <c r="O72" s="156">
        <v>0</v>
      </c>
      <c r="P72" s="156">
        <v>0</v>
      </c>
      <c r="Q72" s="156">
        <v>0</v>
      </c>
      <c r="R72" s="156">
        <v>0</v>
      </c>
      <c r="S72" s="156">
        <v>0</v>
      </c>
      <c r="T72" s="156">
        <v>0</v>
      </c>
      <c r="U72" s="156">
        <v>0</v>
      </c>
      <c r="V72" s="165">
        <v>0</v>
      </c>
      <c r="W72" s="166">
        <v>0</v>
      </c>
    </row>
    <row r="73" spans="1:23" ht="14.4" hidden="1" customHeight="1" outlineLevel="2">
      <c r="A73" s="363"/>
      <c r="B73" s="365"/>
      <c r="C73" s="151" t="str">
        <f t="shared" si="1"/>
        <v>Autres transformations, transferts</v>
      </c>
      <c r="D73" s="270"/>
      <c r="E73" s="163" t="s">
        <v>217</v>
      </c>
      <c r="F73" s="156">
        <v>24.856875540426671</v>
      </c>
      <c r="G73" s="156">
        <v>-42.586921310488997</v>
      </c>
      <c r="H73" s="156">
        <v>41.670112128488995</v>
      </c>
      <c r="I73" s="156">
        <v>0</v>
      </c>
      <c r="J73" s="156">
        <v>0</v>
      </c>
      <c r="K73" s="156">
        <v>0</v>
      </c>
      <c r="L73" s="156">
        <v>0</v>
      </c>
      <c r="M73" s="156">
        <v>0</v>
      </c>
      <c r="N73" s="156">
        <v>0</v>
      </c>
      <c r="O73" s="156">
        <v>0</v>
      </c>
      <c r="P73" s="156">
        <v>0</v>
      </c>
      <c r="Q73" s="156">
        <v>0</v>
      </c>
      <c r="R73" s="156">
        <v>0</v>
      </c>
      <c r="S73" s="156">
        <v>0</v>
      </c>
      <c r="T73" s="156">
        <v>0</v>
      </c>
      <c r="U73" s="156">
        <v>0</v>
      </c>
      <c r="V73" s="165">
        <v>0</v>
      </c>
      <c r="W73" s="166">
        <v>23.94006635842667</v>
      </c>
    </row>
    <row r="74" spans="1:23" ht="14.4" hidden="1" customHeight="1" outlineLevel="2">
      <c r="A74" s="363"/>
      <c r="B74" s="365"/>
      <c r="C74" s="151" t="str">
        <f t="shared" si="1"/>
        <v>Usages internes de la branche énergie</v>
      </c>
      <c r="D74" s="270"/>
      <c r="E74" s="163" t="s">
        <v>218</v>
      </c>
      <c r="F74" s="156">
        <v>10.864485000000002</v>
      </c>
      <c r="G74" s="156">
        <v>0</v>
      </c>
      <c r="H74" s="156">
        <v>12.156002809978</v>
      </c>
      <c r="I74" s="156">
        <v>0</v>
      </c>
      <c r="J74" s="156">
        <v>6.2612449999999988</v>
      </c>
      <c r="K74" s="156">
        <v>0</v>
      </c>
      <c r="L74" s="156">
        <v>0</v>
      </c>
      <c r="M74" s="156">
        <v>0</v>
      </c>
      <c r="N74" s="156">
        <v>0</v>
      </c>
      <c r="O74" s="156">
        <v>0</v>
      </c>
      <c r="P74" s="156">
        <v>0</v>
      </c>
      <c r="Q74" s="156">
        <v>0</v>
      </c>
      <c r="R74" s="156">
        <v>0</v>
      </c>
      <c r="S74" s="156">
        <v>0</v>
      </c>
      <c r="T74" s="156">
        <v>32.903944582120353</v>
      </c>
      <c r="U74" s="156">
        <v>0</v>
      </c>
      <c r="V74" s="165">
        <v>0</v>
      </c>
      <c r="W74" s="166">
        <v>62.185677392098356</v>
      </c>
    </row>
    <row r="75" spans="1:23" ht="14.4" hidden="1" customHeight="1" outlineLevel="2">
      <c r="A75" s="363"/>
      <c r="B75" s="365"/>
      <c r="C75" s="151" t="str">
        <f t="shared" si="1"/>
        <v>Pertes de transport et de distribution</v>
      </c>
      <c r="D75" s="270"/>
      <c r="E75" s="163" t="s">
        <v>219</v>
      </c>
      <c r="F75" s="156">
        <v>0</v>
      </c>
      <c r="G75" s="156">
        <v>0</v>
      </c>
      <c r="H75" s="156">
        <v>0</v>
      </c>
      <c r="I75" s="156">
        <v>0</v>
      </c>
      <c r="J75" s="156">
        <v>3.9080132499999998</v>
      </c>
      <c r="K75" s="156">
        <v>0</v>
      </c>
      <c r="L75" s="156">
        <v>0</v>
      </c>
      <c r="M75" s="156">
        <v>0</v>
      </c>
      <c r="N75" s="156">
        <v>0</v>
      </c>
      <c r="O75" s="156">
        <v>0</v>
      </c>
      <c r="P75" s="156">
        <v>0</v>
      </c>
      <c r="Q75" s="156">
        <v>0</v>
      </c>
      <c r="R75" s="156">
        <v>0</v>
      </c>
      <c r="S75" s="156">
        <v>0</v>
      </c>
      <c r="T75" s="156">
        <v>35.893531999999993</v>
      </c>
      <c r="U75" s="156">
        <v>4.1669160064579911</v>
      </c>
      <c r="V75" s="165">
        <v>0</v>
      </c>
      <c r="W75" s="166">
        <v>43.968461256457978</v>
      </c>
    </row>
    <row r="76" spans="1:23" ht="14.4" hidden="1" customHeight="1" outlineLevel="2">
      <c r="A76" s="363"/>
      <c r="B76" s="365"/>
      <c r="C76" s="151" t="str">
        <f t="shared" si="1"/>
        <v>Consommation nette de la branche énergie</v>
      </c>
      <c r="D76" s="270"/>
      <c r="E76" s="159" t="s">
        <v>220</v>
      </c>
      <c r="F76" s="167">
        <v>48.989043205566659</v>
      </c>
      <c r="G76" s="167">
        <v>405.59850142678499</v>
      </c>
      <c r="H76" s="167">
        <v>-366.39465902537512</v>
      </c>
      <c r="I76" s="167">
        <v>0</v>
      </c>
      <c r="J76" s="167">
        <v>86.005006499999993</v>
      </c>
      <c r="K76" s="167">
        <v>0</v>
      </c>
      <c r="L76" s="167">
        <v>1072.2208090909091</v>
      </c>
      <c r="M76" s="167">
        <v>115.67142051809002</v>
      </c>
      <c r="N76" s="167">
        <v>25.246098872906153</v>
      </c>
      <c r="O76" s="167">
        <v>28.173648237393667</v>
      </c>
      <c r="P76" s="167">
        <v>-27.31624937979873</v>
      </c>
      <c r="Q76" s="167">
        <v>6.3686454536756729</v>
      </c>
      <c r="R76" s="167">
        <v>0.25705111111111106</v>
      </c>
      <c r="S76" s="167">
        <v>5.3861979341677477</v>
      </c>
      <c r="T76" s="167">
        <v>-456.39860899999996</v>
      </c>
      <c r="U76" s="167">
        <v>-41.664572611450417</v>
      </c>
      <c r="V76" s="167">
        <v>0</v>
      </c>
      <c r="W76" s="167">
        <v>902.14233233398079</v>
      </c>
    </row>
    <row r="77" spans="1:23" ht="14.4" hidden="1" customHeight="1" outlineLevel="2">
      <c r="A77" s="363"/>
      <c r="B77" s="365"/>
      <c r="C77" s="151" t="str">
        <f t="shared" si="1"/>
        <v/>
      </c>
      <c r="D77" s="270"/>
      <c r="E77" s="161"/>
      <c r="F77" s="168"/>
      <c r="G77" s="168"/>
      <c r="H77" s="168"/>
      <c r="I77" s="162"/>
      <c r="J77" s="162"/>
      <c r="K77" s="162"/>
      <c r="L77" s="168"/>
      <c r="M77" s="168"/>
      <c r="N77" s="168"/>
      <c r="O77" s="168"/>
      <c r="P77" s="168"/>
      <c r="Q77" s="168"/>
      <c r="R77" s="168"/>
      <c r="S77" s="168"/>
      <c r="T77" s="168"/>
      <c r="U77" s="168"/>
      <c r="V77" s="168"/>
      <c r="W77" s="168"/>
    </row>
    <row r="78" spans="1:23" ht="14.4" hidden="1" customHeight="1" outlineLevel="2">
      <c r="A78" s="363"/>
      <c r="B78" s="365"/>
      <c r="C78" s="151" t="str">
        <f t="shared" si="1"/>
        <v>Industrie</v>
      </c>
      <c r="D78" s="270"/>
      <c r="E78" s="163" t="s">
        <v>0</v>
      </c>
      <c r="F78" s="156">
        <v>9.103168484740003</v>
      </c>
      <c r="G78" s="156">
        <v>0</v>
      </c>
      <c r="H78" s="156">
        <v>30.742620872292591</v>
      </c>
      <c r="I78" s="156">
        <v>0</v>
      </c>
      <c r="J78" s="156">
        <v>115.67477925</v>
      </c>
      <c r="K78" s="156">
        <v>0</v>
      </c>
      <c r="L78" s="156">
        <v>0</v>
      </c>
      <c r="M78" s="156">
        <v>0</v>
      </c>
      <c r="N78" s="156">
        <v>15.652087601653344</v>
      </c>
      <c r="O78" s="156">
        <v>3.5686448746488644</v>
      </c>
      <c r="P78" s="156">
        <v>1.0751813257923004</v>
      </c>
      <c r="Q78" s="156">
        <v>0.92719655758676645</v>
      </c>
      <c r="R78" s="156">
        <v>0</v>
      </c>
      <c r="S78" s="156">
        <v>1.540935583552362E-2</v>
      </c>
      <c r="T78" s="156">
        <v>105.80333299999998</v>
      </c>
      <c r="U78" s="156">
        <v>17.474535389228187</v>
      </c>
      <c r="V78" s="156">
        <v>0</v>
      </c>
      <c r="W78" s="166">
        <v>300.03695671177758</v>
      </c>
    </row>
    <row r="79" spans="1:23" ht="14.4" hidden="1" customHeight="1" outlineLevel="2">
      <c r="A79" s="363"/>
      <c r="B79" s="365"/>
      <c r="C79" s="151" t="str">
        <f t="shared" si="1"/>
        <v>Transport</v>
      </c>
      <c r="D79" s="270"/>
      <c r="E79" s="163" t="s">
        <v>1</v>
      </c>
      <c r="F79" s="156">
        <v>0</v>
      </c>
      <c r="G79" s="156">
        <v>0</v>
      </c>
      <c r="H79" s="156">
        <v>403.3628036386425</v>
      </c>
      <c r="I79" s="156">
        <v>0</v>
      </c>
      <c r="J79" s="156">
        <v>2.2477145000000003</v>
      </c>
      <c r="K79" s="156">
        <v>0</v>
      </c>
      <c r="L79" s="156">
        <v>0</v>
      </c>
      <c r="M79" s="156">
        <v>0</v>
      </c>
      <c r="N79" s="156">
        <v>0</v>
      </c>
      <c r="O79" s="156">
        <v>0</v>
      </c>
      <c r="P79" s="156">
        <v>30.751352031352695</v>
      </c>
      <c r="Q79" s="156">
        <v>0</v>
      </c>
      <c r="R79" s="156">
        <v>0</v>
      </c>
      <c r="S79" s="156">
        <v>0</v>
      </c>
      <c r="T79" s="156">
        <v>8.3371990700000005</v>
      </c>
      <c r="U79" s="156">
        <v>0</v>
      </c>
      <c r="V79" s="156">
        <v>0</v>
      </c>
      <c r="W79" s="166">
        <v>444.6990692399952</v>
      </c>
    </row>
    <row r="80" spans="1:23" ht="14.4" hidden="1" customHeight="1" outlineLevel="2">
      <c r="A80" s="363"/>
      <c r="B80" s="365"/>
      <c r="C80" s="151" t="str">
        <f t="shared" si="1"/>
        <v>Résidentiel</v>
      </c>
      <c r="D80" s="270"/>
      <c r="E80" s="163" t="s">
        <v>221</v>
      </c>
      <c r="F80" s="156">
        <v>0.24074954804999998</v>
      </c>
      <c r="G80" s="156">
        <v>0</v>
      </c>
      <c r="H80" s="156">
        <v>50.312051197940285</v>
      </c>
      <c r="I80" s="156">
        <v>0</v>
      </c>
      <c r="J80" s="156">
        <v>125.05981225000002</v>
      </c>
      <c r="K80" s="156">
        <v>0</v>
      </c>
      <c r="L80" s="156">
        <v>0</v>
      </c>
      <c r="M80" s="156">
        <v>0</v>
      </c>
      <c r="N80" s="156">
        <v>69.406708888888886</v>
      </c>
      <c r="O80" s="156">
        <v>0</v>
      </c>
      <c r="P80" s="156">
        <v>0</v>
      </c>
      <c r="Q80" s="156">
        <v>0</v>
      </c>
      <c r="R80" s="156">
        <v>28.099863055555552</v>
      </c>
      <c r="S80" s="156">
        <v>2.0645206826866662</v>
      </c>
      <c r="T80" s="156">
        <v>161.49853200000001</v>
      </c>
      <c r="U80" s="156">
        <v>14.411899999999999</v>
      </c>
      <c r="V80" s="156">
        <v>0</v>
      </c>
      <c r="W80" s="166">
        <v>451.09413762312147</v>
      </c>
    </row>
    <row r="81" spans="1:23" ht="14.4" hidden="1" customHeight="1" outlineLevel="2">
      <c r="A81" s="363"/>
      <c r="B81" s="365"/>
      <c r="C81" s="151" t="str">
        <f t="shared" si="1"/>
        <v>Tertiaire</v>
      </c>
      <c r="D81" s="270"/>
      <c r="E81" s="163" t="s">
        <v>222</v>
      </c>
      <c r="F81" s="156">
        <v>0.35525487623000002</v>
      </c>
      <c r="G81" s="156">
        <v>0</v>
      </c>
      <c r="H81" s="156">
        <v>31.907501208676987</v>
      </c>
      <c r="I81" s="156">
        <v>0</v>
      </c>
      <c r="J81" s="156">
        <v>62.61667825</v>
      </c>
      <c r="K81" s="156">
        <v>0</v>
      </c>
      <c r="L81" s="156">
        <v>0</v>
      </c>
      <c r="M81" s="156">
        <v>0</v>
      </c>
      <c r="N81" s="156">
        <v>2.8232277777777779</v>
      </c>
      <c r="O81" s="156">
        <v>2.2859468815788357</v>
      </c>
      <c r="P81" s="156">
        <v>0</v>
      </c>
      <c r="Q81" s="156">
        <v>1.4745088888888889</v>
      </c>
      <c r="R81" s="156">
        <v>4.5516825000000001</v>
      </c>
      <c r="S81" s="156">
        <v>0.35485889253622721</v>
      </c>
      <c r="T81" s="156">
        <v>127.64086592999999</v>
      </c>
      <c r="U81" s="156">
        <v>9.5887644444444451</v>
      </c>
      <c r="V81" s="156">
        <v>0</v>
      </c>
      <c r="W81" s="166">
        <v>243.59928965013316</v>
      </c>
    </row>
    <row r="82" spans="1:23" ht="14.4" hidden="1" customHeight="1" outlineLevel="2">
      <c r="A82" s="363"/>
      <c r="B82" s="365"/>
      <c r="C82" s="151" t="str">
        <f t="shared" si="1"/>
        <v>Agriculture</v>
      </c>
      <c r="D82" s="270"/>
      <c r="E82" s="163" t="s">
        <v>118</v>
      </c>
      <c r="F82" s="156">
        <v>1.5371382629999998E-2</v>
      </c>
      <c r="G82" s="156">
        <v>0</v>
      </c>
      <c r="H82" s="156">
        <v>37.352212663167997</v>
      </c>
      <c r="I82" s="156">
        <v>0</v>
      </c>
      <c r="J82" s="156">
        <v>2.1964755</v>
      </c>
      <c r="K82" s="156">
        <v>0</v>
      </c>
      <c r="L82" s="156">
        <v>0</v>
      </c>
      <c r="M82" s="156">
        <v>0</v>
      </c>
      <c r="N82" s="156">
        <v>1.7493453935920653</v>
      </c>
      <c r="O82" s="156">
        <v>0</v>
      </c>
      <c r="P82" s="156">
        <v>1.9048961095281811</v>
      </c>
      <c r="Q82" s="156">
        <v>0.51119305555555561</v>
      </c>
      <c r="R82" s="156">
        <v>0</v>
      </c>
      <c r="S82" s="156">
        <v>0.29232166666666665</v>
      </c>
      <c r="T82" s="156">
        <v>8.079485</v>
      </c>
      <c r="U82" s="156">
        <v>0.18937333333333334</v>
      </c>
      <c r="V82" s="156">
        <v>0</v>
      </c>
      <c r="W82" s="166">
        <v>52.290674104473801</v>
      </c>
    </row>
    <row r="83" spans="1:23" ht="14.4" hidden="1" customHeight="1" outlineLevel="2">
      <c r="A83" s="363"/>
      <c r="B83" s="365"/>
      <c r="C83" s="151" t="str">
        <f t="shared" si="1"/>
        <v>Puits technologiques</v>
      </c>
      <c r="D83" s="270"/>
      <c r="E83" s="163" t="s">
        <v>223</v>
      </c>
      <c r="F83" s="156">
        <v>0</v>
      </c>
      <c r="G83" s="156">
        <v>0</v>
      </c>
      <c r="H83" s="156">
        <v>0</v>
      </c>
      <c r="I83" s="156">
        <v>0</v>
      </c>
      <c r="J83" s="156">
        <v>0</v>
      </c>
      <c r="K83" s="156">
        <v>0</v>
      </c>
      <c r="L83" s="156">
        <v>0</v>
      </c>
      <c r="M83" s="156">
        <v>0</v>
      </c>
      <c r="N83" s="156">
        <v>0</v>
      </c>
      <c r="O83" s="156">
        <v>0</v>
      </c>
      <c r="P83" s="156">
        <v>0</v>
      </c>
      <c r="Q83" s="156">
        <v>0</v>
      </c>
      <c r="R83" s="156">
        <v>0</v>
      </c>
      <c r="S83" s="156">
        <v>0</v>
      </c>
      <c r="T83" s="156">
        <v>0</v>
      </c>
      <c r="U83" s="156">
        <v>0</v>
      </c>
      <c r="V83" s="156">
        <v>0</v>
      </c>
      <c r="W83" s="166">
        <v>0</v>
      </c>
    </row>
    <row r="84" spans="1:23" ht="14.4" hidden="1" customHeight="1" outlineLevel="2">
      <c r="A84" s="363"/>
      <c r="B84" s="365"/>
      <c r="C84" s="151" t="str">
        <f t="shared" si="1"/>
        <v>Consommation finale énergétique</v>
      </c>
      <c r="D84" s="270"/>
      <c r="E84" s="159" t="s">
        <v>224</v>
      </c>
      <c r="F84" s="167">
        <v>9.714544291650002</v>
      </c>
      <c r="G84" s="167">
        <v>0</v>
      </c>
      <c r="H84" s="167">
        <v>553.67718958072032</v>
      </c>
      <c r="I84" s="167">
        <v>0</v>
      </c>
      <c r="J84" s="167">
        <v>307.79545975000002</v>
      </c>
      <c r="K84" s="167">
        <v>0</v>
      </c>
      <c r="L84" s="167">
        <v>0</v>
      </c>
      <c r="M84" s="167">
        <v>0</v>
      </c>
      <c r="N84" s="167">
        <v>89.631369661912075</v>
      </c>
      <c r="O84" s="167">
        <v>5.8545917562277001</v>
      </c>
      <c r="P84" s="167">
        <v>33.731429466673177</v>
      </c>
      <c r="Q84" s="167">
        <v>2.912898502031211</v>
      </c>
      <c r="R84" s="167">
        <v>32.65154555555555</v>
      </c>
      <c r="S84" s="167">
        <v>2.7271105977250838</v>
      </c>
      <c r="T84" s="167">
        <v>411.35941500000001</v>
      </c>
      <c r="U84" s="167">
        <v>41.664573167005969</v>
      </c>
      <c r="V84" s="167">
        <v>0</v>
      </c>
      <c r="W84" s="167">
        <v>1491.7201273295011</v>
      </c>
    </row>
    <row r="85" spans="1:23" ht="14.4" hidden="1" customHeight="1" outlineLevel="2">
      <c r="A85" s="363"/>
      <c r="B85" s="365"/>
      <c r="C85" s="151" t="str">
        <f t="shared" si="1"/>
        <v>Consommation finale non énergétique</v>
      </c>
      <c r="D85" s="270"/>
      <c r="E85" s="155" t="s">
        <v>225</v>
      </c>
      <c r="F85" s="156">
        <v>2.8214338015700005</v>
      </c>
      <c r="G85" s="156">
        <v>0</v>
      </c>
      <c r="H85" s="156">
        <v>130.9502374537683</v>
      </c>
      <c r="I85" s="156">
        <v>0</v>
      </c>
      <c r="J85" s="156">
        <v>12.027936500000001</v>
      </c>
      <c r="K85" s="156">
        <v>0</v>
      </c>
      <c r="L85" s="156">
        <v>0</v>
      </c>
      <c r="M85" s="156">
        <v>0</v>
      </c>
      <c r="N85" s="156">
        <v>0</v>
      </c>
      <c r="O85" s="156">
        <v>0</v>
      </c>
      <c r="P85" s="156">
        <v>0</v>
      </c>
      <c r="Q85" s="156">
        <v>0</v>
      </c>
      <c r="R85" s="156">
        <v>0</v>
      </c>
      <c r="S85" s="156">
        <v>0</v>
      </c>
      <c r="T85" s="156">
        <v>0</v>
      </c>
      <c r="U85" s="156">
        <v>0</v>
      </c>
      <c r="V85" s="156">
        <v>0</v>
      </c>
      <c r="W85" s="166">
        <v>145.79960775533831</v>
      </c>
    </row>
    <row r="86" spans="1:23" ht="14.4" hidden="1" customHeight="1" outlineLevel="2">
      <c r="A86" s="363"/>
      <c r="B86" s="365"/>
      <c r="C86" s="151" t="str">
        <f t="shared" si="1"/>
        <v>Consommation finale</v>
      </c>
      <c r="D86" s="270"/>
      <c r="E86" s="159" t="s">
        <v>226</v>
      </c>
      <c r="F86" s="167">
        <v>12.535978093220002</v>
      </c>
      <c r="G86" s="167">
        <v>0</v>
      </c>
      <c r="H86" s="167">
        <v>684.62742703448862</v>
      </c>
      <c r="I86" s="167">
        <v>0</v>
      </c>
      <c r="J86" s="167">
        <v>319.82339625000003</v>
      </c>
      <c r="K86" s="167">
        <v>0</v>
      </c>
      <c r="L86" s="167">
        <v>0</v>
      </c>
      <c r="M86" s="167">
        <v>0</v>
      </c>
      <c r="N86" s="167">
        <v>89.631369661912075</v>
      </c>
      <c r="O86" s="167">
        <v>5.8545917562277001</v>
      </c>
      <c r="P86" s="167">
        <v>33.731429466673177</v>
      </c>
      <c r="Q86" s="167">
        <v>2.912898502031211</v>
      </c>
      <c r="R86" s="167">
        <v>32.65154555555555</v>
      </c>
      <c r="S86" s="167">
        <v>2.7271105977250838</v>
      </c>
      <c r="T86" s="167">
        <v>411.35941500000001</v>
      </c>
      <c r="U86" s="167">
        <v>41.664573167005969</v>
      </c>
      <c r="V86" s="167">
        <v>0</v>
      </c>
      <c r="W86" s="167">
        <v>1637.5197350848393</v>
      </c>
    </row>
    <row r="87" spans="1:23" outlineLevel="1" collapsed="1">
      <c r="A87" s="363"/>
      <c r="B87" s="365"/>
      <c r="C87" s="151" t="str">
        <f t="shared" si="1"/>
        <v/>
      </c>
      <c r="D87" s="269"/>
      <c r="E87" s="114"/>
      <c r="F87" s="114"/>
      <c r="G87" s="114"/>
      <c r="H87" s="114"/>
      <c r="I87" s="114"/>
      <c r="J87" s="114"/>
      <c r="K87" s="114"/>
      <c r="L87" s="114"/>
      <c r="M87" s="269"/>
      <c r="N87" s="114"/>
      <c r="O87" s="114"/>
      <c r="P87" s="114"/>
      <c r="Q87" s="114"/>
      <c r="R87" s="114"/>
      <c r="S87" s="114"/>
      <c r="T87" s="114"/>
      <c r="U87" s="114"/>
      <c r="V87" s="114"/>
      <c r="W87" s="114"/>
    </row>
    <row r="88" spans="1:23" ht="28.2" outlineLevel="1">
      <c r="A88" s="363"/>
      <c r="B88" s="365"/>
      <c r="C88" s="151">
        <f t="shared" si="1"/>
        <v>2021</v>
      </c>
      <c r="D88" s="269"/>
      <c r="E88" s="654">
        <v>2021</v>
      </c>
      <c r="F88" s="655"/>
      <c r="G88" s="655"/>
      <c r="H88" s="655"/>
      <c r="I88" s="655"/>
      <c r="J88" s="655"/>
      <c r="K88" s="655"/>
      <c r="L88" s="656"/>
      <c r="M88" s="272"/>
      <c r="N88" s="273"/>
      <c r="O88" s="273"/>
      <c r="P88" s="273"/>
      <c r="Q88" s="273"/>
      <c r="R88" s="273"/>
      <c r="S88" s="273"/>
      <c r="T88" s="273"/>
      <c r="U88" s="273"/>
      <c r="V88" s="273"/>
      <c r="W88" s="273"/>
    </row>
    <row r="89" spans="1:23" ht="14.4" hidden="1" customHeight="1" outlineLevel="2">
      <c r="A89" s="363"/>
      <c r="B89" s="365"/>
      <c r="C89" s="151" t="str">
        <f t="shared" si="1"/>
        <v>TWh</v>
      </c>
      <c r="D89" s="270"/>
      <c r="E89" s="662" t="s">
        <v>184</v>
      </c>
      <c r="F89" s="659" t="s">
        <v>185</v>
      </c>
      <c r="G89" s="659" t="s">
        <v>186</v>
      </c>
      <c r="H89" s="659" t="s">
        <v>187</v>
      </c>
      <c r="I89" s="657" t="s">
        <v>188</v>
      </c>
      <c r="J89" s="657" t="s">
        <v>189</v>
      </c>
      <c r="K89" s="657" t="s">
        <v>190</v>
      </c>
      <c r="L89" s="659" t="s">
        <v>191</v>
      </c>
      <c r="M89" s="659" t="s">
        <v>192</v>
      </c>
      <c r="N89" s="659" t="s">
        <v>193</v>
      </c>
      <c r="O89" s="660"/>
      <c r="P89" s="660"/>
      <c r="Q89" s="660"/>
      <c r="R89" s="660"/>
      <c r="S89" s="661"/>
      <c r="T89" s="657" t="s">
        <v>194</v>
      </c>
      <c r="U89" s="657" t="s">
        <v>195</v>
      </c>
      <c r="V89" s="657" t="s">
        <v>196</v>
      </c>
      <c r="W89" s="657" t="s">
        <v>144</v>
      </c>
    </row>
    <row r="90" spans="1:23" ht="36" hidden="1" customHeight="1" outlineLevel="2">
      <c r="A90" s="363"/>
      <c r="B90" s="365"/>
      <c r="C90" s="151" t="str">
        <f t="shared" si="1"/>
        <v/>
      </c>
      <c r="D90" s="270"/>
      <c r="E90" s="662"/>
      <c r="F90" s="659"/>
      <c r="G90" s="659"/>
      <c r="H90" s="659"/>
      <c r="I90" s="658"/>
      <c r="J90" s="658"/>
      <c r="K90" s="658"/>
      <c r="L90" s="659"/>
      <c r="M90" s="659"/>
      <c r="N90" s="153" t="s">
        <v>197</v>
      </c>
      <c r="O90" s="153" t="s">
        <v>24</v>
      </c>
      <c r="P90" s="153" t="s">
        <v>198</v>
      </c>
      <c r="Q90" s="153" t="s">
        <v>199</v>
      </c>
      <c r="R90" s="154" t="s">
        <v>200</v>
      </c>
      <c r="S90" s="153" t="s">
        <v>201</v>
      </c>
      <c r="T90" s="658"/>
      <c r="U90" s="658"/>
      <c r="V90" s="658"/>
      <c r="W90" s="658"/>
    </row>
    <row r="91" spans="1:23" ht="14.4" hidden="1" customHeight="1" outlineLevel="2">
      <c r="A91" s="363"/>
      <c r="B91" s="365"/>
      <c r="C91" s="151" t="str">
        <f t="shared" si="1"/>
        <v>Production d'énergie primaire</v>
      </c>
      <c r="D91" s="270"/>
      <c r="E91" s="155" t="s">
        <v>202</v>
      </c>
      <c r="F91" s="156">
        <v>0</v>
      </c>
      <c r="G91" s="156">
        <v>9.7687711891069995</v>
      </c>
      <c r="H91" s="156">
        <v>0</v>
      </c>
      <c r="I91" s="156">
        <v>0</v>
      </c>
      <c r="J91" s="156">
        <v>0.20697699999999999</v>
      </c>
      <c r="K91" s="156">
        <v>0</v>
      </c>
      <c r="L91" s="165">
        <v>893.12435757575759</v>
      </c>
      <c r="M91" s="165">
        <v>103.21570951808999</v>
      </c>
      <c r="N91" s="165">
        <v>117.31225560106823</v>
      </c>
      <c r="O91" s="165">
        <v>36.087037700583139</v>
      </c>
      <c r="P91" s="156">
        <v>0</v>
      </c>
      <c r="Q91" s="156">
        <v>0.2235843445957727</v>
      </c>
      <c r="R91" s="165">
        <v>44.752462777777779</v>
      </c>
      <c r="S91" s="165">
        <v>8.1983815400839397</v>
      </c>
      <c r="T91" s="156">
        <v>0</v>
      </c>
      <c r="U91" s="156">
        <v>0</v>
      </c>
      <c r="V91" s="156">
        <v>0</v>
      </c>
      <c r="W91" s="166">
        <v>1212.8895372470633</v>
      </c>
    </row>
    <row r="92" spans="1:23" ht="14.4" hidden="1" customHeight="1" outlineLevel="2">
      <c r="A92" s="363"/>
      <c r="B92" s="365"/>
      <c r="C92" s="151" t="str">
        <f t="shared" si="1"/>
        <v>Importations</v>
      </c>
      <c r="D92" s="270"/>
      <c r="E92" s="155" t="s">
        <v>203</v>
      </c>
      <c r="F92" s="156">
        <v>73.009115262073337</v>
      </c>
      <c r="G92" s="156">
        <v>488.95201882775257</v>
      </c>
      <c r="H92" s="156">
        <v>477.06716105129891</v>
      </c>
      <c r="I92" s="157">
        <v>0</v>
      </c>
      <c r="J92" s="157">
        <v>575.54527200000007</v>
      </c>
      <c r="K92" s="157">
        <v>0</v>
      </c>
      <c r="L92" s="156">
        <v>0</v>
      </c>
      <c r="M92" s="156">
        <v>0</v>
      </c>
      <c r="N92" s="156">
        <v>4.910486184722223</v>
      </c>
      <c r="O92" s="156">
        <v>-6.8775587524907012E-5</v>
      </c>
      <c r="P92" s="156">
        <v>22.686979777846386</v>
      </c>
      <c r="Q92" s="156">
        <v>0</v>
      </c>
      <c r="R92" s="156">
        <v>0</v>
      </c>
      <c r="S92" s="156">
        <v>0</v>
      </c>
      <c r="T92" s="156">
        <v>52.437269000000001</v>
      </c>
      <c r="U92" s="156">
        <v>0</v>
      </c>
      <c r="V92" s="156">
        <v>0</v>
      </c>
      <c r="W92" s="166">
        <v>1694.6082333281058</v>
      </c>
    </row>
    <row r="93" spans="1:23" ht="14.4" hidden="1" customHeight="1" outlineLevel="2">
      <c r="A93" s="363"/>
      <c r="B93" s="365"/>
      <c r="C93" s="151" t="str">
        <f t="shared" si="1"/>
        <v>Exportations</v>
      </c>
      <c r="D93" s="270"/>
      <c r="E93" s="155" t="s">
        <v>204</v>
      </c>
      <c r="F93" s="156">
        <v>-6.6680977160000016E-2</v>
      </c>
      <c r="G93" s="156">
        <v>-0.592113315867</v>
      </c>
      <c r="H93" s="156">
        <v>-162.54636445095773</v>
      </c>
      <c r="I93" s="157">
        <v>0</v>
      </c>
      <c r="J93" s="157">
        <v>-154.17159475000003</v>
      </c>
      <c r="K93" s="157">
        <v>0</v>
      </c>
      <c r="L93" s="156">
        <v>0</v>
      </c>
      <c r="M93" s="156">
        <v>0</v>
      </c>
      <c r="N93" s="156">
        <v>-2.5931308486111111</v>
      </c>
      <c r="O93" s="156">
        <v>0</v>
      </c>
      <c r="P93" s="156">
        <v>-5.5745491894565156</v>
      </c>
      <c r="Q93" s="156">
        <v>0</v>
      </c>
      <c r="R93" s="156">
        <v>0</v>
      </c>
      <c r="S93" s="156">
        <v>0</v>
      </c>
      <c r="T93" s="156">
        <v>-37.492745999999997</v>
      </c>
      <c r="U93" s="156">
        <v>0</v>
      </c>
      <c r="V93" s="156">
        <v>0</v>
      </c>
      <c r="W93" s="166">
        <v>-363.03717953205239</v>
      </c>
    </row>
    <row r="94" spans="1:23" ht="14.4" hidden="1" customHeight="1" outlineLevel="2">
      <c r="A94" s="363"/>
      <c r="B94" s="365"/>
      <c r="C94" s="151" t="str">
        <f t="shared" si="1"/>
        <v>Soutes maritimes internationales</v>
      </c>
      <c r="D94" s="270"/>
      <c r="E94" s="155" t="s">
        <v>205</v>
      </c>
      <c r="F94" s="156">
        <v>0</v>
      </c>
      <c r="G94" s="156">
        <v>0</v>
      </c>
      <c r="H94" s="156">
        <v>-13.877421699920152</v>
      </c>
      <c r="I94" s="156">
        <v>0</v>
      </c>
      <c r="J94" s="156">
        <v>0</v>
      </c>
      <c r="K94" s="156">
        <v>0</v>
      </c>
      <c r="L94" s="156">
        <v>0</v>
      </c>
      <c r="M94" s="156">
        <v>0</v>
      </c>
      <c r="N94" s="156">
        <v>0</v>
      </c>
      <c r="O94" s="156">
        <v>0</v>
      </c>
      <c r="P94" s="156">
        <v>0</v>
      </c>
      <c r="Q94" s="156">
        <v>0</v>
      </c>
      <c r="R94" s="156">
        <v>0</v>
      </c>
      <c r="S94" s="156">
        <v>0</v>
      </c>
      <c r="T94" s="156">
        <v>0</v>
      </c>
      <c r="U94" s="156">
        <v>0</v>
      </c>
      <c r="V94" s="156">
        <v>0</v>
      </c>
      <c r="W94" s="166">
        <v>-13.877421699920152</v>
      </c>
    </row>
    <row r="95" spans="1:23" ht="14.4" hidden="1" customHeight="1" outlineLevel="2">
      <c r="A95" s="363"/>
      <c r="B95" s="365"/>
      <c r="C95" s="151" t="str">
        <f t="shared" si="1"/>
        <v>Soutes aériennes internationales</v>
      </c>
      <c r="D95" s="270"/>
      <c r="E95" s="155" t="s">
        <v>206</v>
      </c>
      <c r="F95" s="156">
        <v>0</v>
      </c>
      <c r="G95" s="156">
        <v>0</v>
      </c>
      <c r="H95" s="156">
        <v>-63.573866272667004</v>
      </c>
      <c r="I95" s="156">
        <v>0</v>
      </c>
      <c r="J95" s="156">
        <v>0</v>
      </c>
      <c r="K95" s="156">
        <v>0</v>
      </c>
      <c r="L95" s="156">
        <v>0</v>
      </c>
      <c r="M95" s="156">
        <v>0</v>
      </c>
      <c r="N95" s="156">
        <v>0</v>
      </c>
      <c r="O95" s="156">
        <v>0</v>
      </c>
      <c r="P95" s="156">
        <v>0</v>
      </c>
      <c r="Q95" s="156">
        <v>0</v>
      </c>
      <c r="R95" s="156">
        <v>0</v>
      </c>
      <c r="S95" s="156">
        <v>0</v>
      </c>
      <c r="T95" s="156">
        <v>0</v>
      </c>
      <c r="U95" s="156">
        <v>0</v>
      </c>
      <c r="V95" s="156">
        <v>0</v>
      </c>
      <c r="W95" s="166">
        <v>-63.573866272667004</v>
      </c>
    </row>
    <row r="96" spans="1:23" ht="14.4" hidden="1" customHeight="1" outlineLevel="2">
      <c r="A96" s="363"/>
      <c r="B96" s="365"/>
      <c r="C96" s="151" t="str">
        <f t="shared" si="1"/>
        <v>Variations de stocks (+ = déstockage, - = stockage)</v>
      </c>
      <c r="D96" s="270"/>
      <c r="E96" s="155" t="s">
        <v>207</v>
      </c>
      <c r="F96" s="156">
        <v>-2.9844763247220669</v>
      </c>
      <c r="G96" s="156">
        <v>-2.771756591965</v>
      </c>
      <c r="H96" s="156">
        <v>3.1594595371718968</v>
      </c>
      <c r="I96" s="157">
        <v>0</v>
      </c>
      <c r="J96" s="157">
        <v>-35.140381000000005</v>
      </c>
      <c r="K96" s="157">
        <v>0</v>
      </c>
      <c r="L96" s="156">
        <v>0</v>
      </c>
      <c r="M96" s="156">
        <v>0</v>
      </c>
      <c r="N96" s="156">
        <v>0</v>
      </c>
      <c r="O96" s="156">
        <v>0</v>
      </c>
      <c r="P96" s="156">
        <v>0</v>
      </c>
      <c r="Q96" s="156">
        <v>0</v>
      </c>
      <c r="R96" s="156">
        <v>0</v>
      </c>
      <c r="S96" s="156">
        <v>0</v>
      </c>
      <c r="T96" s="156">
        <v>0</v>
      </c>
      <c r="U96" s="156">
        <v>0</v>
      </c>
      <c r="V96" s="156">
        <v>0</v>
      </c>
      <c r="W96" s="166">
        <v>-37.737154379515175</v>
      </c>
    </row>
    <row r="97" spans="1:23" ht="14.4" hidden="1" customHeight="1" outlineLevel="2">
      <c r="A97" s="363"/>
      <c r="B97" s="365"/>
      <c r="C97" s="151" t="str">
        <f t="shared" si="1"/>
        <v>Total approvisionnement / consommation primaire</v>
      </c>
      <c r="D97" s="270"/>
      <c r="E97" s="159" t="s">
        <v>208</v>
      </c>
      <c r="F97" s="167">
        <v>69.957957960191266</v>
      </c>
      <c r="G97" s="167">
        <v>495.35692010902756</v>
      </c>
      <c r="H97" s="167">
        <v>240.22896816492596</v>
      </c>
      <c r="I97" s="167">
        <v>0</v>
      </c>
      <c r="J97" s="167">
        <v>386.44027325000008</v>
      </c>
      <c r="K97" s="167">
        <v>0</v>
      </c>
      <c r="L97" s="167">
        <v>893.12435757575759</v>
      </c>
      <c r="M97" s="167">
        <v>103.21570951808999</v>
      </c>
      <c r="N97" s="167">
        <v>119.62961093717934</v>
      </c>
      <c r="O97" s="167">
        <v>36.086968924995617</v>
      </c>
      <c r="P97" s="167">
        <v>17.11243058838987</v>
      </c>
      <c r="Q97" s="167">
        <v>0.2235843445957727</v>
      </c>
      <c r="R97" s="167">
        <v>44.752462777777779</v>
      </c>
      <c r="S97" s="167">
        <v>8.1983815400839397</v>
      </c>
      <c r="T97" s="167">
        <v>14.944523000000004</v>
      </c>
      <c r="U97" s="167">
        <v>0</v>
      </c>
      <c r="V97" s="167">
        <v>0</v>
      </c>
      <c r="W97" s="167">
        <v>2429.2721486910141</v>
      </c>
    </row>
    <row r="98" spans="1:23" ht="14.4" hidden="1" customHeight="1" outlineLevel="2">
      <c r="A98" s="363"/>
      <c r="B98" s="365"/>
      <c r="C98" s="151" t="str">
        <f t="shared" si="1"/>
        <v/>
      </c>
      <c r="D98" s="270"/>
      <c r="E98" s="188"/>
      <c r="F98" s="168"/>
      <c r="G98" s="168"/>
      <c r="H98" s="168"/>
      <c r="I98" s="162"/>
      <c r="J98" s="162"/>
      <c r="K98" s="162"/>
      <c r="L98" s="168"/>
      <c r="M98" s="168"/>
      <c r="N98" s="168"/>
      <c r="O98" s="168"/>
      <c r="P98" s="168"/>
      <c r="Q98" s="168"/>
      <c r="R98" s="168"/>
      <c r="S98" s="168"/>
      <c r="T98" s="168"/>
      <c r="U98" s="168"/>
      <c r="V98" s="168"/>
      <c r="W98" s="168"/>
    </row>
    <row r="99" spans="1:23" ht="14.4" hidden="1" customHeight="1" outlineLevel="2">
      <c r="A99" s="363"/>
      <c r="B99" s="365"/>
      <c r="C99" s="151" t="str">
        <f t="shared" si="1"/>
        <v>Écart statistique</v>
      </c>
      <c r="D99" s="270"/>
      <c r="E99" s="163" t="s">
        <v>209</v>
      </c>
      <c r="F99" s="156">
        <v>-3.2172036633544465</v>
      </c>
      <c r="G99" s="156">
        <v>8.6918816645701593</v>
      </c>
      <c r="H99" s="165">
        <v>-9.9818947214287643</v>
      </c>
      <c r="I99" s="156">
        <v>0</v>
      </c>
      <c r="J99" s="156">
        <v>-1.9</v>
      </c>
      <c r="K99" s="156">
        <v>0</v>
      </c>
      <c r="L99" s="165">
        <v>0</v>
      </c>
      <c r="M99" s="165">
        <v>0</v>
      </c>
      <c r="N99" s="165">
        <v>0</v>
      </c>
      <c r="O99" s="165">
        <v>0</v>
      </c>
      <c r="P99" s="165">
        <v>0</v>
      </c>
      <c r="Q99" s="165">
        <v>0</v>
      </c>
      <c r="R99" s="165">
        <v>0</v>
      </c>
      <c r="S99" s="165">
        <v>0</v>
      </c>
      <c r="T99" s="165">
        <v>0.88498001334329668</v>
      </c>
      <c r="U99" s="165">
        <v>0</v>
      </c>
      <c r="V99" s="165">
        <v>0</v>
      </c>
      <c r="W99" s="166">
        <v>-5.5222367068697551</v>
      </c>
    </row>
    <row r="100" spans="1:23" ht="14.4" hidden="1" customHeight="1" outlineLevel="2">
      <c r="A100" s="363"/>
      <c r="B100" s="365"/>
      <c r="C100" s="151" t="str">
        <f t="shared" si="1"/>
        <v>Production d'électricité</v>
      </c>
      <c r="D100" s="270"/>
      <c r="E100" s="163" t="s">
        <v>13</v>
      </c>
      <c r="F100" s="156">
        <v>22.704674555627779</v>
      </c>
      <c r="G100" s="156">
        <v>0</v>
      </c>
      <c r="H100" s="165">
        <v>14.162400323007727</v>
      </c>
      <c r="I100" s="156">
        <v>0</v>
      </c>
      <c r="J100" s="156">
        <v>50.9</v>
      </c>
      <c r="K100" s="156">
        <v>0</v>
      </c>
      <c r="L100" s="165">
        <v>1149.579672727273</v>
      </c>
      <c r="M100" s="165">
        <v>112.63656667417351</v>
      </c>
      <c r="N100" s="165">
        <v>16.450581812821277</v>
      </c>
      <c r="O100" s="165">
        <v>11.637452619387753</v>
      </c>
      <c r="P100" s="165">
        <v>0</v>
      </c>
      <c r="Q100" s="165">
        <v>6.4652317833333326</v>
      </c>
      <c r="R100" s="165">
        <v>0</v>
      </c>
      <c r="S100" s="165">
        <v>1.1831153542668358</v>
      </c>
      <c r="T100" s="165">
        <v>-551.22381363018587</v>
      </c>
      <c r="U100" s="165">
        <v>0</v>
      </c>
      <c r="V100" s="165">
        <v>0</v>
      </c>
      <c r="W100" s="166">
        <v>834.49588221970532</v>
      </c>
    </row>
    <row r="101" spans="1:23" ht="14.4" hidden="1" customHeight="1" outlineLevel="2">
      <c r="A101" s="363"/>
      <c r="B101" s="365"/>
      <c r="C101" s="151" t="str">
        <f t="shared" si="1"/>
        <v>Production de chaleur</v>
      </c>
      <c r="D101" s="270"/>
      <c r="E101" s="163" t="s">
        <v>210</v>
      </c>
      <c r="F101" s="156">
        <v>1.7</v>
      </c>
      <c r="G101" s="156">
        <v>0</v>
      </c>
      <c r="H101" s="165">
        <v>2.8</v>
      </c>
      <c r="I101" s="156">
        <v>0</v>
      </c>
      <c r="J101" s="156">
        <v>22.3</v>
      </c>
      <c r="K101" s="156">
        <v>0</v>
      </c>
      <c r="L101" s="165">
        <v>0</v>
      </c>
      <c r="M101" s="165">
        <v>0</v>
      </c>
      <c r="N101" s="165">
        <v>11.128112602116227</v>
      </c>
      <c r="O101" s="165">
        <v>16.032427320770637</v>
      </c>
      <c r="P101" s="165">
        <v>0</v>
      </c>
      <c r="Q101" s="165">
        <v>3.0469379388888891</v>
      </c>
      <c r="R101" s="165">
        <v>0.33911500000000006</v>
      </c>
      <c r="S101" s="165">
        <v>4.0327325495864983</v>
      </c>
      <c r="T101" s="165">
        <v>0</v>
      </c>
      <c r="U101" s="165">
        <v>-53.146607042756457</v>
      </c>
      <c r="V101" s="165">
        <v>0</v>
      </c>
      <c r="W101" s="166">
        <v>8.232718368605795</v>
      </c>
    </row>
    <row r="102" spans="1:23" ht="14.4" hidden="1" customHeight="1" outlineLevel="2">
      <c r="A102" s="363"/>
      <c r="B102" s="365"/>
      <c r="C102" s="151" t="str">
        <f t="shared" si="1"/>
        <v>Production de gaz renouvelable</v>
      </c>
      <c r="D102" s="270"/>
      <c r="E102" s="163" t="s">
        <v>211</v>
      </c>
      <c r="F102" s="156">
        <v>0</v>
      </c>
      <c r="G102" s="156">
        <v>0</v>
      </c>
      <c r="H102" s="165">
        <v>0</v>
      </c>
      <c r="I102" s="156">
        <v>0</v>
      </c>
      <c r="J102" s="156">
        <v>0</v>
      </c>
      <c r="K102" s="156">
        <v>0</v>
      </c>
      <c r="L102" s="165">
        <v>0</v>
      </c>
      <c r="M102" s="165">
        <v>0</v>
      </c>
      <c r="N102" s="165">
        <v>3.9044474999999998</v>
      </c>
      <c r="O102" s="165">
        <v>0</v>
      </c>
      <c r="P102" s="165">
        <v>0</v>
      </c>
      <c r="Q102" s="165">
        <v>-3.9044474999999998</v>
      </c>
      <c r="R102" s="165">
        <v>0</v>
      </c>
      <c r="S102" s="165">
        <v>0</v>
      </c>
      <c r="T102" s="165">
        <v>0</v>
      </c>
      <c r="U102" s="165">
        <v>0</v>
      </c>
      <c r="V102" s="165">
        <v>0</v>
      </c>
      <c r="W102" s="166">
        <v>0</v>
      </c>
    </row>
    <row r="103" spans="1:23" ht="14.4" hidden="1" customHeight="1" outlineLevel="2">
      <c r="A103" s="363"/>
      <c r="B103" s="365"/>
      <c r="C103" s="151" t="str">
        <f t="shared" si="1"/>
        <v>Production de gaz de synthèse</v>
      </c>
      <c r="D103" s="270"/>
      <c r="E103" s="163" t="s">
        <v>212</v>
      </c>
      <c r="F103" s="156">
        <v>0</v>
      </c>
      <c r="G103" s="156">
        <v>0</v>
      </c>
      <c r="H103" s="165">
        <v>0</v>
      </c>
      <c r="I103" s="156">
        <v>0</v>
      </c>
      <c r="J103" s="156">
        <v>0</v>
      </c>
      <c r="K103" s="156">
        <v>0</v>
      </c>
      <c r="L103" s="165">
        <v>0</v>
      </c>
      <c r="M103" s="165">
        <v>0</v>
      </c>
      <c r="N103" s="165">
        <v>0</v>
      </c>
      <c r="O103" s="165">
        <v>0</v>
      </c>
      <c r="P103" s="165">
        <v>0</v>
      </c>
      <c r="Q103" s="165">
        <v>0</v>
      </c>
      <c r="R103" s="165">
        <v>0</v>
      </c>
      <c r="S103" s="165">
        <v>0</v>
      </c>
      <c r="T103" s="165">
        <v>0</v>
      </c>
      <c r="U103" s="165">
        <v>0</v>
      </c>
      <c r="V103" s="165">
        <v>0</v>
      </c>
      <c r="W103" s="166">
        <v>0</v>
      </c>
    </row>
    <row r="104" spans="1:23" ht="14.4" hidden="1" customHeight="1" outlineLevel="2">
      <c r="A104" s="363"/>
      <c r="B104" s="365"/>
      <c r="C104" s="151" t="str">
        <f t="shared" si="1"/>
        <v>Raffinage de pétrole</v>
      </c>
      <c r="D104" s="270"/>
      <c r="E104" s="163" t="s">
        <v>213</v>
      </c>
      <c r="F104" s="156">
        <v>0</v>
      </c>
      <c r="G104" s="156">
        <v>437.56801221871012</v>
      </c>
      <c r="H104" s="165">
        <v>-432.65891268749499</v>
      </c>
      <c r="I104" s="156">
        <v>0</v>
      </c>
      <c r="J104" s="156">
        <v>0</v>
      </c>
      <c r="K104" s="156">
        <v>0</v>
      </c>
      <c r="L104" s="165">
        <v>0</v>
      </c>
      <c r="M104" s="165">
        <v>0</v>
      </c>
      <c r="N104" s="165">
        <v>0</v>
      </c>
      <c r="O104" s="165">
        <v>0</v>
      </c>
      <c r="P104" s="165">
        <v>0</v>
      </c>
      <c r="Q104" s="165">
        <v>0</v>
      </c>
      <c r="R104" s="165">
        <v>0</v>
      </c>
      <c r="S104" s="165">
        <v>0</v>
      </c>
      <c r="T104" s="165">
        <v>0</v>
      </c>
      <c r="U104" s="165">
        <v>0</v>
      </c>
      <c r="V104" s="165">
        <v>0</v>
      </c>
      <c r="W104" s="166">
        <v>4.9090995312151335</v>
      </c>
    </row>
    <row r="105" spans="1:23" ht="14.4" hidden="1" customHeight="1" outlineLevel="2">
      <c r="A105" s="363"/>
      <c r="B105" s="365"/>
      <c r="C105" s="151" t="str">
        <f t="shared" si="1"/>
        <v>Production de biocarburants</v>
      </c>
      <c r="D105" s="270"/>
      <c r="E105" s="163" t="s">
        <v>214</v>
      </c>
      <c r="F105" s="156">
        <v>0</v>
      </c>
      <c r="G105" s="156">
        <v>0</v>
      </c>
      <c r="H105" s="165">
        <v>0</v>
      </c>
      <c r="I105" s="156">
        <v>0</v>
      </c>
      <c r="J105" s="156">
        <v>0</v>
      </c>
      <c r="K105" s="156">
        <v>0</v>
      </c>
      <c r="L105" s="165">
        <v>0</v>
      </c>
      <c r="M105" s="165">
        <v>0</v>
      </c>
      <c r="N105" s="165">
        <v>0</v>
      </c>
      <c r="O105" s="165">
        <v>0</v>
      </c>
      <c r="P105" s="165">
        <v>0</v>
      </c>
      <c r="Q105" s="165">
        <v>0</v>
      </c>
      <c r="R105" s="165">
        <v>0</v>
      </c>
      <c r="S105" s="165">
        <v>0</v>
      </c>
      <c r="T105" s="165">
        <v>0</v>
      </c>
      <c r="U105" s="165">
        <v>0</v>
      </c>
      <c r="V105" s="165">
        <v>0</v>
      </c>
      <c r="W105" s="166">
        <v>0</v>
      </c>
    </row>
    <row r="106" spans="1:23" ht="14.4" hidden="1" customHeight="1" outlineLevel="2">
      <c r="A106" s="363"/>
      <c r="B106" s="365"/>
      <c r="C106" s="151" t="str">
        <f t="shared" si="1"/>
        <v>Production d'e-fuels</v>
      </c>
      <c r="D106" s="270"/>
      <c r="E106" s="163" t="s">
        <v>215</v>
      </c>
      <c r="F106" s="156">
        <v>0</v>
      </c>
      <c r="G106" s="156">
        <v>0</v>
      </c>
      <c r="H106" s="165">
        <v>0</v>
      </c>
      <c r="I106" s="156">
        <v>0</v>
      </c>
      <c r="J106" s="156">
        <v>0</v>
      </c>
      <c r="K106" s="156">
        <v>0</v>
      </c>
      <c r="L106" s="165">
        <v>0</v>
      </c>
      <c r="M106" s="165">
        <v>0</v>
      </c>
      <c r="N106" s="165">
        <v>0</v>
      </c>
      <c r="O106" s="165">
        <v>0</v>
      </c>
      <c r="P106" s="165">
        <v>0</v>
      </c>
      <c r="Q106" s="165">
        <v>0</v>
      </c>
      <c r="R106" s="165">
        <v>0</v>
      </c>
      <c r="S106" s="165">
        <v>0</v>
      </c>
      <c r="T106" s="165">
        <v>0</v>
      </c>
      <c r="U106" s="165">
        <v>0</v>
      </c>
      <c r="V106" s="165">
        <v>0</v>
      </c>
      <c r="W106" s="166">
        <v>0</v>
      </c>
    </row>
    <row r="107" spans="1:23" ht="14.4" hidden="1" customHeight="1" outlineLevel="2">
      <c r="A107" s="363"/>
      <c r="B107" s="365"/>
      <c r="C107" s="151" t="str">
        <f t="shared" si="1"/>
        <v>Production d'hydrogène</v>
      </c>
      <c r="D107" s="270"/>
      <c r="E107" s="163" t="s">
        <v>216</v>
      </c>
      <c r="F107" s="156">
        <v>0</v>
      </c>
      <c r="G107" s="156">
        <v>0</v>
      </c>
      <c r="H107" s="165">
        <v>0</v>
      </c>
      <c r="I107" s="156">
        <v>0</v>
      </c>
      <c r="J107" s="156">
        <v>0</v>
      </c>
      <c r="K107" s="156">
        <v>0</v>
      </c>
      <c r="L107" s="165">
        <v>0</v>
      </c>
      <c r="M107" s="165">
        <v>0</v>
      </c>
      <c r="N107" s="165">
        <v>0</v>
      </c>
      <c r="O107" s="165">
        <v>0</v>
      </c>
      <c r="P107" s="165">
        <v>0</v>
      </c>
      <c r="Q107" s="165">
        <v>0</v>
      </c>
      <c r="R107" s="165">
        <v>0</v>
      </c>
      <c r="S107" s="165">
        <v>0</v>
      </c>
      <c r="T107" s="165">
        <v>0</v>
      </c>
      <c r="U107" s="165">
        <v>0</v>
      </c>
      <c r="V107" s="165">
        <v>0</v>
      </c>
      <c r="W107" s="166">
        <v>0</v>
      </c>
    </row>
    <row r="108" spans="1:23" ht="14.4" hidden="1" customHeight="1" outlineLevel="2">
      <c r="A108" s="363"/>
      <c r="B108" s="365"/>
      <c r="C108" s="151" t="str">
        <f t="shared" si="1"/>
        <v>Autres transformations, transferts</v>
      </c>
      <c r="D108" s="270"/>
      <c r="E108" s="163" t="s">
        <v>217</v>
      </c>
      <c r="F108" s="156">
        <v>32.414169646176781</v>
      </c>
      <c r="G108" s="156">
        <v>-27.441633567884001</v>
      </c>
      <c r="H108" s="165">
        <v>26.423718579649009</v>
      </c>
      <c r="I108" s="156">
        <v>0</v>
      </c>
      <c r="J108" s="156">
        <v>0</v>
      </c>
      <c r="K108" s="156">
        <v>0</v>
      </c>
      <c r="L108" s="165">
        <v>0</v>
      </c>
      <c r="M108" s="165">
        <v>0</v>
      </c>
      <c r="N108" s="165">
        <v>0</v>
      </c>
      <c r="O108" s="165">
        <v>0</v>
      </c>
      <c r="P108" s="165">
        <v>0</v>
      </c>
      <c r="Q108" s="165">
        <v>0</v>
      </c>
      <c r="R108" s="165">
        <v>0</v>
      </c>
      <c r="S108" s="165">
        <v>0</v>
      </c>
      <c r="T108" s="165">
        <v>0</v>
      </c>
      <c r="U108" s="165">
        <v>0</v>
      </c>
      <c r="V108" s="165">
        <v>0</v>
      </c>
      <c r="W108" s="166">
        <v>31.396254657941789</v>
      </c>
    </row>
    <row r="109" spans="1:23" ht="14.4" hidden="1" customHeight="1" outlineLevel="2">
      <c r="A109" s="363"/>
      <c r="B109" s="365"/>
      <c r="C109" s="151" t="str">
        <f t="shared" si="1"/>
        <v>Usages internes de la branche énergie</v>
      </c>
      <c r="D109" s="270"/>
      <c r="E109" s="163" t="s">
        <v>218</v>
      </c>
      <c r="F109" s="156">
        <v>12.946757886319885</v>
      </c>
      <c r="G109" s="156">
        <v>0</v>
      </c>
      <c r="H109" s="165">
        <v>10.589802527221</v>
      </c>
      <c r="I109" s="156">
        <v>0</v>
      </c>
      <c r="J109" s="156">
        <v>5.5572169999999996</v>
      </c>
      <c r="K109" s="156">
        <v>0</v>
      </c>
      <c r="L109" s="165">
        <v>0</v>
      </c>
      <c r="M109" s="165">
        <v>0</v>
      </c>
      <c r="N109" s="165">
        <v>0</v>
      </c>
      <c r="O109" s="165">
        <v>0</v>
      </c>
      <c r="P109" s="165">
        <v>0</v>
      </c>
      <c r="Q109" s="165">
        <v>0</v>
      </c>
      <c r="R109" s="165">
        <v>0</v>
      </c>
      <c r="S109" s="165">
        <v>0</v>
      </c>
      <c r="T109" s="165">
        <v>33.303206492431578</v>
      </c>
      <c r="U109" s="165">
        <v>0</v>
      </c>
      <c r="V109" s="165">
        <v>0</v>
      </c>
      <c r="W109" s="166">
        <v>62.396983905972462</v>
      </c>
    </row>
    <row r="110" spans="1:23" ht="14.4" hidden="1" customHeight="1" outlineLevel="2">
      <c r="A110" s="363"/>
      <c r="B110" s="365"/>
      <c r="C110" s="151" t="str">
        <f t="shared" si="1"/>
        <v>Pertes de transport et de distribution</v>
      </c>
      <c r="D110" s="270"/>
      <c r="E110" s="163" t="s">
        <v>219</v>
      </c>
      <c r="F110" s="156">
        <v>0</v>
      </c>
      <c r="G110" s="156">
        <v>0</v>
      </c>
      <c r="H110" s="165">
        <v>0</v>
      </c>
      <c r="I110" s="156">
        <v>0</v>
      </c>
      <c r="J110" s="156">
        <v>3.5778432499999999</v>
      </c>
      <c r="K110" s="156">
        <v>0</v>
      </c>
      <c r="L110" s="165">
        <v>0</v>
      </c>
      <c r="M110" s="165">
        <v>0</v>
      </c>
      <c r="N110" s="165">
        <v>0</v>
      </c>
      <c r="O110" s="165">
        <v>0</v>
      </c>
      <c r="P110" s="165">
        <v>0</v>
      </c>
      <c r="Q110" s="165">
        <v>0</v>
      </c>
      <c r="R110" s="165">
        <v>0</v>
      </c>
      <c r="S110" s="165">
        <v>0</v>
      </c>
      <c r="T110" s="165">
        <v>39.12444228345425</v>
      </c>
      <c r="U110" s="165">
        <v>4.9402489163743386</v>
      </c>
      <c r="V110" s="165">
        <v>0</v>
      </c>
      <c r="W110" s="166">
        <v>47.642534449828588</v>
      </c>
    </row>
    <row r="111" spans="1:23" ht="14.4" hidden="1" customHeight="1" outlineLevel="2">
      <c r="A111" s="363"/>
      <c r="B111" s="365"/>
      <c r="C111" s="151" t="str">
        <f t="shared" si="1"/>
        <v>Consommation nette de la branche énergie</v>
      </c>
      <c r="D111" s="270"/>
      <c r="E111" s="159" t="s">
        <v>220</v>
      </c>
      <c r="F111" s="167">
        <v>66.548398424769999</v>
      </c>
      <c r="G111" s="167">
        <v>418.81826031539623</v>
      </c>
      <c r="H111" s="167">
        <v>-388.66488597904601</v>
      </c>
      <c r="I111" s="167">
        <v>0</v>
      </c>
      <c r="J111" s="167">
        <v>80.435060249999992</v>
      </c>
      <c r="K111" s="167">
        <v>0</v>
      </c>
      <c r="L111" s="167">
        <v>1149.579672727273</v>
      </c>
      <c r="M111" s="167">
        <v>112.63656667417351</v>
      </c>
      <c r="N111" s="167">
        <v>31.483141914937502</v>
      </c>
      <c r="O111" s="167">
        <v>27.669879940158388</v>
      </c>
      <c r="P111" s="167">
        <v>0</v>
      </c>
      <c r="Q111" s="167">
        <v>5.6077222222222218</v>
      </c>
      <c r="R111" s="167">
        <v>0.33911500000000006</v>
      </c>
      <c r="S111" s="167">
        <v>5.2158479038533336</v>
      </c>
      <c r="T111" s="167">
        <v>-477.91118484095665</v>
      </c>
      <c r="U111" s="167">
        <v>-48.206358126382121</v>
      </c>
      <c r="V111" s="167">
        <v>0</v>
      </c>
      <c r="W111" s="167">
        <v>983.55123642639933</v>
      </c>
    </row>
    <row r="112" spans="1:23" ht="14.4" hidden="1" customHeight="1" outlineLevel="2">
      <c r="A112" s="363"/>
      <c r="B112" s="365"/>
      <c r="C112" s="151" t="str">
        <f t="shared" si="1"/>
        <v/>
      </c>
      <c r="D112" s="270"/>
      <c r="E112" s="188"/>
      <c r="F112" s="168"/>
      <c r="G112" s="168"/>
      <c r="H112" s="168"/>
      <c r="I112" s="162"/>
      <c r="J112" s="162"/>
      <c r="K112" s="162"/>
      <c r="L112" s="168"/>
      <c r="M112" s="168"/>
      <c r="N112" s="168"/>
      <c r="O112" s="168"/>
      <c r="P112" s="168"/>
      <c r="Q112" s="168"/>
      <c r="R112" s="168"/>
      <c r="S112" s="168"/>
      <c r="T112" s="168"/>
      <c r="U112" s="168"/>
      <c r="V112" s="168"/>
      <c r="W112" s="168"/>
    </row>
    <row r="113" spans="1:23" ht="14.4" hidden="1" customHeight="1" outlineLevel="2">
      <c r="A113" s="363"/>
      <c r="B113" s="365"/>
      <c r="C113" s="151" t="str">
        <f t="shared" si="1"/>
        <v>Industrie</v>
      </c>
      <c r="D113" s="270"/>
      <c r="E113" s="163" t="s">
        <v>0</v>
      </c>
      <c r="F113" s="156">
        <v>10.499518224319999</v>
      </c>
      <c r="G113" s="156">
        <v>0</v>
      </c>
      <c r="H113" s="156">
        <v>29.416179425607226</v>
      </c>
      <c r="I113" s="156">
        <v>0</v>
      </c>
      <c r="J113" s="156">
        <v>122.68129450000001</v>
      </c>
      <c r="K113" s="156">
        <v>0</v>
      </c>
      <c r="L113" s="156">
        <v>0</v>
      </c>
      <c r="M113" s="156">
        <v>0</v>
      </c>
      <c r="N113" s="156">
        <v>15.007241944444445</v>
      </c>
      <c r="O113" s="156">
        <v>4.5080899999999993</v>
      </c>
      <c r="P113" s="156">
        <v>0.90818192591922298</v>
      </c>
      <c r="Q113" s="156">
        <v>0.7288891666666667</v>
      </c>
      <c r="R113" s="156">
        <v>0</v>
      </c>
      <c r="S113" s="156">
        <v>2.3466111111111111E-2</v>
      </c>
      <c r="T113" s="156">
        <v>112.74074204167756</v>
      </c>
      <c r="U113" s="156">
        <v>20.288037293048792</v>
      </c>
      <c r="V113" s="156">
        <v>0</v>
      </c>
      <c r="W113" s="166">
        <v>316.80164063279506</v>
      </c>
    </row>
    <row r="114" spans="1:23" ht="14.4" hidden="1" customHeight="1" outlineLevel="2">
      <c r="A114" s="363"/>
      <c r="B114" s="365"/>
      <c r="C114" s="151" t="str">
        <f t="shared" si="1"/>
        <v>Transport</v>
      </c>
      <c r="D114" s="270"/>
      <c r="E114" s="163" t="s">
        <v>1</v>
      </c>
      <c r="F114" s="156">
        <v>0</v>
      </c>
      <c r="G114" s="156">
        <v>0</v>
      </c>
      <c r="H114" s="156">
        <v>455.73907855508537</v>
      </c>
      <c r="I114" s="156">
        <v>0</v>
      </c>
      <c r="J114" s="156">
        <v>3.1643742499999998</v>
      </c>
      <c r="K114" s="156">
        <v>0</v>
      </c>
      <c r="L114" s="156">
        <v>0</v>
      </c>
      <c r="M114" s="156">
        <v>0</v>
      </c>
      <c r="N114" s="156">
        <v>0</v>
      </c>
      <c r="O114" s="156">
        <v>0</v>
      </c>
      <c r="P114" s="156">
        <v>33.682313987219715</v>
      </c>
      <c r="Q114" s="156">
        <v>0</v>
      </c>
      <c r="R114" s="156">
        <v>0</v>
      </c>
      <c r="S114" s="156">
        <v>0</v>
      </c>
      <c r="T114" s="156">
        <v>9.5062570700000002</v>
      </c>
      <c r="U114" s="156">
        <v>0</v>
      </c>
      <c r="V114" s="156">
        <v>0</v>
      </c>
      <c r="W114" s="166">
        <v>502.0920238623051</v>
      </c>
    </row>
    <row r="115" spans="1:23" ht="14.4" hidden="1" customHeight="1" outlineLevel="2">
      <c r="A115" s="363"/>
      <c r="B115" s="365"/>
      <c r="C115" s="151" t="str">
        <f t="shared" si="1"/>
        <v>Résidentiel</v>
      </c>
      <c r="D115" s="270"/>
      <c r="E115" s="163" t="s">
        <v>221</v>
      </c>
      <c r="F115" s="156">
        <v>0.30392462681999999</v>
      </c>
      <c r="G115" s="156">
        <v>0</v>
      </c>
      <c r="H115" s="156">
        <v>48.420737334519657</v>
      </c>
      <c r="I115" s="156">
        <v>0</v>
      </c>
      <c r="J115" s="156">
        <v>137.47295825</v>
      </c>
      <c r="K115" s="156">
        <v>0</v>
      </c>
      <c r="L115" s="156">
        <v>0</v>
      </c>
      <c r="M115" s="156">
        <v>0</v>
      </c>
      <c r="N115" s="156">
        <v>79.436266183333316</v>
      </c>
      <c r="O115" s="156">
        <v>0</v>
      </c>
      <c r="P115" s="156">
        <v>0</v>
      </c>
      <c r="Q115" s="156">
        <v>0</v>
      </c>
      <c r="R115" s="156">
        <v>37.229244444444447</v>
      </c>
      <c r="S115" s="156">
        <v>2.0012324114533335</v>
      </c>
      <c r="T115" s="156">
        <v>169.647731859684</v>
      </c>
      <c r="U115" s="156">
        <v>17.049854444444446</v>
      </c>
      <c r="V115" s="156">
        <v>0</v>
      </c>
      <c r="W115" s="166">
        <v>491.56194955469914</v>
      </c>
    </row>
    <row r="116" spans="1:23" ht="14.4" hidden="1" customHeight="1" outlineLevel="2">
      <c r="A116" s="363"/>
      <c r="B116" s="365"/>
      <c r="C116" s="151" t="str">
        <f t="shared" si="1"/>
        <v>Tertiaire</v>
      </c>
      <c r="D116" s="270"/>
      <c r="E116" s="163" t="s">
        <v>222</v>
      </c>
      <c r="F116" s="156">
        <v>0.42171975636000003</v>
      </c>
      <c r="G116" s="156">
        <v>0</v>
      </c>
      <c r="H116" s="156">
        <v>31.848490363564004</v>
      </c>
      <c r="I116" s="156">
        <v>0</v>
      </c>
      <c r="J116" s="156">
        <v>75.02500775</v>
      </c>
      <c r="K116" s="156">
        <v>0</v>
      </c>
      <c r="L116" s="156">
        <v>0</v>
      </c>
      <c r="M116" s="156">
        <v>0</v>
      </c>
      <c r="N116" s="156">
        <v>3.518470555555556</v>
      </c>
      <c r="O116" s="156">
        <v>2.6955142783343735</v>
      </c>
      <c r="P116" s="156">
        <v>0</v>
      </c>
      <c r="Q116" s="156">
        <v>1.5720347222222222</v>
      </c>
      <c r="R116" s="156">
        <v>5.4113150000000001</v>
      </c>
      <c r="S116" s="156">
        <v>0.36038522262222222</v>
      </c>
      <c r="T116" s="156">
        <v>133.43843185863599</v>
      </c>
      <c r="U116" s="156">
        <v>10.601388055555557</v>
      </c>
      <c r="V116" s="156">
        <v>0</v>
      </c>
      <c r="W116" s="166">
        <v>264.89275756284991</v>
      </c>
    </row>
    <row r="117" spans="1:23" ht="14.4" hidden="1" customHeight="1" outlineLevel="2">
      <c r="A117" s="363"/>
      <c r="B117" s="365"/>
      <c r="C117" s="151" t="str">
        <f t="shared" si="1"/>
        <v>Agriculture</v>
      </c>
      <c r="D117" s="270"/>
      <c r="E117" s="163" t="s">
        <v>118</v>
      </c>
      <c r="F117" s="156">
        <v>1.645683379E-2</v>
      </c>
      <c r="G117" s="156">
        <v>0</v>
      </c>
      <c r="H117" s="156">
        <v>37.64130659695499</v>
      </c>
      <c r="I117" s="156">
        <v>0</v>
      </c>
      <c r="J117" s="156">
        <v>2.6142742499999998</v>
      </c>
      <c r="K117" s="156">
        <v>0</v>
      </c>
      <c r="L117" s="156">
        <v>0</v>
      </c>
      <c r="M117" s="156">
        <v>0</v>
      </c>
      <c r="N117" s="156">
        <v>1.8067343740011113</v>
      </c>
      <c r="O117" s="156">
        <v>0</v>
      </c>
      <c r="P117" s="156">
        <v>2.1134212030118888</v>
      </c>
      <c r="Q117" s="156">
        <v>0.64352166666666666</v>
      </c>
      <c r="R117" s="156">
        <v>0</v>
      </c>
      <c r="S117" s="156">
        <v>0.29224250000000002</v>
      </c>
      <c r="T117" s="156">
        <v>7.6857720109592274</v>
      </c>
      <c r="U117" s="156">
        <v>0.26707805555555553</v>
      </c>
      <c r="V117" s="156">
        <v>0</v>
      </c>
      <c r="W117" s="166">
        <v>53.080807490939442</v>
      </c>
    </row>
    <row r="118" spans="1:23" ht="14.4" hidden="1" customHeight="1" outlineLevel="2">
      <c r="A118" s="363"/>
      <c r="B118" s="365"/>
      <c r="C118" s="151" t="str">
        <f t="shared" si="1"/>
        <v>Puits technologiques</v>
      </c>
      <c r="D118" s="270"/>
      <c r="E118" s="163" t="s">
        <v>223</v>
      </c>
      <c r="F118" s="156">
        <v>0</v>
      </c>
      <c r="G118" s="156">
        <v>0</v>
      </c>
      <c r="H118" s="156">
        <v>0</v>
      </c>
      <c r="I118" s="156">
        <v>0</v>
      </c>
      <c r="J118" s="156">
        <v>0</v>
      </c>
      <c r="K118" s="156">
        <v>0</v>
      </c>
      <c r="L118" s="156">
        <v>0</v>
      </c>
      <c r="M118" s="156">
        <v>0</v>
      </c>
      <c r="N118" s="156">
        <v>0</v>
      </c>
      <c r="O118" s="156">
        <v>0</v>
      </c>
      <c r="P118" s="156">
        <v>0</v>
      </c>
      <c r="Q118" s="156">
        <v>0</v>
      </c>
      <c r="R118" s="156">
        <v>0</v>
      </c>
      <c r="S118" s="156">
        <v>0</v>
      </c>
      <c r="T118" s="156">
        <v>0</v>
      </c>
      <c r="U118" s="156">
        <v>0</v>
      </c>
      <c r="V118" s="156">
        <v>0</v>
      </c>
      <c r="W118" s="166">
        <v>0</v>
      </c>
    </row>
    <row r="119" spans="1:23" ht="14.4" hidden="1" customHeight="1" outlineLevel="2">
      <c r="A119" s="363"/>
      <c r="B119" s="365"/>
      <c r="C119" s="151" t="str">
        <f t="shared" si="1"/>
        <v>Consommation finale énergétique</v>
      </c>
      <c r="D119" s="270"/>
      <c r="E119" s="159" t="s">
        <v>224</v>
      </c>
      <c r="F119" s="167">
        <v>11.24161944129</v>
      </c>
      <c r="G119" s="167">
        <v>0</v>
      </c>
      <c r="H119" s="167">
        <v>603.06579227573127</v>
      </c>
      <c r="I119" s="167">
        <v>0</v>
      </c>
      <c r="J119" s="167">
        <v>340.95790899999997</v>
      </c>
      <c r="K119" s="167">
        <v>0</v>
      </c>
      <c r="L119" s="167">
        <v>0</v>
      </c>
      <c r="M119" s="167">
        <v>0</v>
      </c>
      <c r="N119" s="167">
        <v>99.768713057334423</v>
      </c>
      <c r="O119" s="167">
        <v>7.2036042783343728</v>
      </c>
      <c r="P119" s="167">
        <v>36.703917116150826</v>
      </c>
      <c r="Q119" s="167">
        <v>2.9444455555555553</v>
      </c>
      <c r="R119" s="167">
        <v>42.640559444444449</v>
      </c>
      <c r="S119" s="167">
        <v>2.6773262451866668</v>
      </c>
      <c r="T119" s="167">
        <v>433.01893484095683</v>
      </c>
      <c r="U119" s="167">
        <v>48.206357848604355</v>
      </c>
      <c r="V119" s="167">
        <v>0</v>
      </c>
      <c r="W119" s="167">
        <v>1628.4291791035887</v>
      </c>
    </row>
    <row r="120" spans="1:23" ht="14.4" hidden="1" customHeight="1" outlineLevel="2">
      <c r="A120" s="363"/>
      <c r="B120" s="365"/>
      <c r="C120" s="151" t="str">
        <f t="shared" si="1"/>
        <v>Consommation finale non énergétique</v>
      </c>
      <c r="D120" s="270"/>
      <c r="E120" s="155" t="s">
        <v>225</v>
      </c>
      <c r="F120" s="156">
        <v>3.2100486466300007</v>
      </c>
      <c r="G120" s="156">
        <v>0</v>
      </c>
      <c r="H120" s="156">
        <v>139.4576510270841</v>
      </c>
      <c r="I120" s="156">
        <v>0</v>
      </c>
      <c r="J120" s="156">
        <v>12.877187000000003</v>
      </c>
      <c r="K120" s="156">
        <v>0</v>
      </c>
      <c r="L120" s="156">
        <v>0</v>
      </c>
      <c r="M120" s="156">
        <v>0</v>
      </c>
      <c r="N120" s="156">
        <v>0</v>
      </c>
      <c r="O120" s="156">
        <v>0</v>
      </c>
      <c r="P120" s="156">
        <v>0</v>
      </c>
      <c r="Q120" s="156">
        <v>0</v>
      </c>
      <c r="R120" s="156">
        <v>0</v>
      </c>
      <c r="S120" s="156">
        <v>0</v>
      </c>
      <c r="T120" s="156">
        <v>0</v>
      </c>
      <c r="U120" s="156">
        <v>0.65340598733210598</v>
      </c>
      <c r="V120" s="156">
        <v>0</v>
      </c>
      <c r="W120" s="166">
        <v>156.1982926610462</v>
      </c>
    </row>
    <row r="121" spans="1:23" ht="14.4" hidden="1" customHeight="1" outlineLevel="2">
      <c r="A121" s="363"/>
      <c r="B121" s="365"/>
      <c r="C121" s="151" t="str">
        <f t="shared" si="1"/>
        <v>Consommation finale</v>
      </c>
      <c r="D121" s="270"/>
      <c r="E121" s="159" t="s">
        <v>226</v>
      </c>
      <c r="F121" s="167">
        <v>14.451668087920002</v>
      </c>
      <c r="G121" s="167">
        <v>0</v>
      </c>
      <c r="H121" s="167">
        <v>742.52344330281539</v>
      </c>
      <c r="I121" s="167">
        <v>0</v>
      </c>
      <c r="J121" s="167">
        <v>353.83509599999996</v>
      </c>
      <c r="K121" s="167">
        <v>0</v>
      </c>
      <c r="L121" s="167">
        <v>0</v>
      </c>
      <c r="M121" s="167">
        <v>0</v>
      </c>
      <c r="N121" s="167">
        <v>99.768713057334423</v>
      </c>
      <c r="O121" s="167">
        <v>7.2036042783343728</v>
      </c>
      <c r="P121" s="167">
        <v>36.703917116150826</v>
      </c>
      <c r="Q121" s="167">
        <v>2.9444455555555553</v>
      </c>
      <c r="R121" s="167">
        <v>42.640559444444449</v>
      </c>
      <c r="S121" s="167">
        <v>2.6773262451866668</v>
      </c>
      <c r="T121" s="167">
        <v>433.01893484095683</v>
      </c>
      <c r="U121" s="167">
        <v>48.859763835936462</v>
      </c>
      <c r="V121" s="167">
        <v>0</v>
      </c>
      <c r="W121" s="167">
        <v>1784.6274717646349</v>
      </c>
    </row>
    <row r="122" spans="1:23" ht="14.4" customHeight="1" outlineLevel="1" collapsed="1">
      <c r="A122" s="363"/>
      <c r="B122" s="365"/>
      <c r="C122" s="151" t="str">
        <f t="shared" si="1"/>
        <v/>
      </c>
      <c r="D122" s="269"/>
      <c r="E122" s="114"/>
      <c r="F122" s="114"/>
      <c r="G122" s="114"/>
      <c r="H122" s="114"/>
      <c r="I122" s="114"/>
      <c r="J122" s="114"/>
      <c r="K122" s="114"/>
      <c r="L122" s="114"/>
      <c r="M122" s="269"/>
      <c r="N122" s="114"/>
      <c r="O122" s="114"/>
      <c r="P122" s="114"/>
      <c r="Q122" s="114"/>
      <c r="R122" s="114"/>
      <c r="S122" s="114"/>
      <c r="T122" s="114"/>
      <c r="U122" s="114"/>
      <c r="V122" s="114"/>
      <c r="W122" s="114"/>
    </row>
    <row r="123" spans="1:23" ht="21" customHeight="1" outlineLevel="1">
      <c r="A123" s="363"/>
      <c r="B123" s="365"/>
      <c r="C123" s="151">
        <f t="shared" si="1"/>
        <v>2023</v>
      </c>
      <c r="D123" s="269"/>
      <c r="E123" s="654">
        <v>2023</v>
      </c>
      <c r="F123" s="655"/>
      <c r="G123" s="655"/>
      <c r="H123" s="655"/>
      <c r="I123" s="655"/>
      <c r="J123" s="655"/>
      <c r="K123" s="655"/>
      <c r="L123" s="656"/>
      <c r="M123" s="272"/>
      <c r="N123" s="273"/>
      <c r="O123" s="273"/>
      <c r="P123" s="273"/>
      <c r="Q123" s="273"/>
      <c r="R123" s="273"/>
      <c r="S123" s="273"/>
      <c r="T123" s="273"/>
      <c r="U123" s="273"/>
      <c r="V123" s="273"/>
      <c r="W123" s="273"/>
    </row>
    <row r="124" spans="1:23" ht="14.4" hidden="1" customHeight="1" outlineLevel="2">
      <c r="A124" s="363"/>
      <c r="B124" s="365"/>
      <c r="C124" s="151" t="str">
        <f t="shared" si="1"/>
        <v>TWh</v>
      </c>
      <c r="D124" s="269"/>
      <c r="E124" s="662" t="s">
        <v>184</v>
      </c>
      <c r="F124" s="659" t="s">
        <v>185</v>
      </c>
      <c r="G124" s="659" t="s">
        <v>186</v>
      </c>
      <c r="H124" s="659" t="s">
        <v>187</v>
      </c>
      <c r="I124" s="657" t="s">
        <v>188</v>
      </c>
      <c r="J124" s="657" t="s">
        <v>189</v>
      </c>
      <c r="K124" s="657" t="s">
        <v>190</v>
      </c>
      <c r="L124" s="659" t="s">
        <v>191</v>
      </c>
      <c r="M124" s="659" t="s">
        <v>192</v>
      </c>
      <c r="N124" s="659" t="s">
        <v>193</v>
      </c>
      <c r="O124" s="660"/>
      <c r="P124" s="660"/>
      <c r="Q124" s="660"/>
      <c r="R124" s="660"/>
      <c r="S124" s="661"/>
      <c r="T124" s="657" t="s">
        <v>194</v>
      </c>
      <c r="U124" s="657" t="s">
        <v>195</v>
      </c>
      <c r="V124" s="657" t="s">
        <v>196</v>
      </c>
      <c r="W124" s="657" t="s">
        <v>144</v>
      </c>
    </row>
    <row r="125" spans="1:23" ht="36" hidden="1" customHeight="1" outlineLevel="2">
      <c r="A125" s="363"/>
      <c r="B125" s="365"/>
      <c r="C125" s="151" t="str">
        <f t="shared" si="1"/>
        <v/>
      </c>
      <c r="D125" s="270"/>
      <c r="E125" s="662"/>
      <c r="F125" s="659"/>
      <c r="G125" s="659"/>
      <c r="H125" s="659"/>
      <c r="I125" s="658"/>
      <c r="J125" s="658"/>
      <c r="K125" s="658"/>
      <c r="L125" s="659"/>
      <c r="M125" s="659"/>
      <c r="N125" s="153" t="s">
        <v>197</v>
      </c>
      <c r="O125" s="153" t="s">
        <v>24</v>
      </c>
      <c r="P125" s="153" t="s">
        <v>198</v>
      </c>
      <c r="Q125" s="153" t="s">
        <v>199</v>
      </c>
      <c r="R125" s="154" t="s">
        <v>200</v>
      </c>
      <c r="S125" s="153" t="s">
        <v>201</v>
      </c>
      <c r="T125" s="658"/>
      <c r="U125" s="658"/>
      <c r="V125" s="658"/>
      <c r="W125" s="658"/>
    </row>
    <row r="126" spans="1:23" ht="14.4" hidden="1" customHeight="1" outlineLevel="2">
      <c r="A126" s="363"/>
      <c r="B126" s="365"/>
      <c r="C126" s="151" t="str">
        <f t="shared" si="1"/>
        <v>Production d'énergie primaire</v>
      </c>
      <c r="D126" s="270"/>
      <c r="E126" s="155" t="s">
        <v>202</v>
      </c>
      <c r="F126" s="156">
        <v>0</v>
      </c>
      <c r="G126" s="156">
        <v>9.6296400000000002</v>
      </c>
      <c r="H126" s="156">
        <v>0</v>
      </c>
      <c r="I126" s="156">
        <v>0</v>
      </c>
      <c r="J126" s="156">
        <v>0.19305800000000004</v>
      </c>
      <c r="K126" s="156">
        <v>0</v>
      </c>
      <c r="L126" s="165">
        <v>1140.366181818182</v>
      </c>
      <c r="M126" s="165">
        <v>131.59278102869408</v>
      </c>
      <c r="N126" s="165">
        <v>207.14648009796051</v>
      </c>
      <c r="O126" s="165">
        <v>35.969367195660368</v>
      </c>
      <c r="P126" s="156">
        <v>0.20092572111676185</v>
      </c>
      <c r="Q126" s="156">
        <v>0.14735812244666191</v>
      </c>
      <c r="R126" s="165">
        <v>53.123615249788919</v>
      </c>
      <c r="S126" s="165">
        <v>7.3287953727535786</v>
      </c>
      <c r="T126" s="156">
        <v>0</v>
      </c>
      <c r="U126" s="156">
        <v>0</v>
      </c>
      <c r="V126" s="156">
        <v>0</v>
      </c>
      <c r="W126" s="166">
        <v>1585.6982026066028</v>
      </c>
    </row>
    <row r="127" spans="1:23" ht="14.4" hidden="1" customHeight="1" outlineLevel="2">
      <c r="A127" s="363"/>
      <c r="B127" s="365"/>
      <c r="C127" s="151" t="str">
        <f t="shared" si="1"/>
        <v>Importations</v>
      </c>
      <c r="D127" s="270"/>
      <c r="E127" s="155" t="s">
        <v>203</v>
      </c>
      <c r="F127" s="156">
        <v>56.480886482165729</v>
      </c>
      <c r="G127" s="156">
        <v>459.91342569717432</v>
      </c>
      <c r="H127" s="156">
        <v>335.79112730043744</v>
      </c>
      <c r="I127" s="157">
        <v>0</v>
      </c>
      <c r="J127" s="157">
        <v>364.68313251352492</v>
      </c>
      <c r="K127" s="157">
        <v>0</v>
      </c>
      <c r="L127" s="156">
        <v>0</v>
      </c>
      <c r="M127" s="156">
        <v>0</v>
      </c>
      <c r="N127" s="156">
        <v>2.5668284840431275</v>
      </c>
      <c r="O127" s="156">
        <v>0</v>
      </c>
      <c r="P127" s="156">
        <v>2.8914612378939504</v>
      </c>
      <c r="Q127" s="156">
        <v>7.995667558250771</v>
      </c>
      <c r="R127" s="156">
        <v>0</v>
      </c>
      <c r="S127" s="156">
        <v>0</v>
      </c>
      <c r="T127" s="156">
        <v>0</v>
      </c>
      <c r="U127" s="156">
        <v>0</v>
      </c>
      <c r="V127" s="156">
        <v>0</v>
      </c>
      <c r="W127" s="166">
        <v>1230.3225292734903</v>
      </c>
    </row>
    <row r="128" spans="1:23" ht="14.4" hidden="1" customHeight="1" outlineLevel="2">
      <c r="A128" s="363"/>
      <c r="B128" s="365"/>
      <c r="C128" s="151" t="str">
        <f t="shared" si="1"/>
        <v>Exportations</v>
      </c>
      <c r="D128" s="270"/>
      <c r="E128" s="155" t="s">
        <v>204</v>
      </c>
      <c r="F128" s="156">
        <v>0</v>
      </c>
      <c r="G128" s="156">
        <v>0</v>
      </c>
      <c r="H128" s="156">
        <v>-1.9958158323902644</v>
      </c>
      <c r="I128" s="157">
        <v>0</v>
      </c>
      <c r="J128" s="157">
        <v>0</v>
      </c>
      <c r="K128" s="157">
        <v>0</v>
      </c>
      <c r="L128" s="156">
        <v>0</v>
      </c>
      <c r="M128" s="156">
        <v>0</v>
      </c>
      <c r="N128" s="156">
        <v>0</v>
      </c>
      <c r="O128" s="156">
        <v>0</v>
      </c>
      <c r="P128" s="156">
        <v>0</v>
      </c>
      <c r="Q128" s="156">
        <v>0</v>
      </c>
      <c r="R128" s="156">
        <v>0</v>
      </c>
      <c r="S128" s="156">
        <v>0</v>
      </c>
      <c r="T128" s="156">
        <v>-68.173110028878966</v>
      </c>
      <c r="U128" s="156">
        <v>0</v>
      </c>
      <c r="V128" s="156">
        <v>0</v>
      </c>
      <c r="W128" s="166">
        <v>-70.16892586126923</v>
      </c>
    </row>
    <row r="129" spans="1:23" ht="14.4" hidden="1" customHeight="1" outlineLevel="2">
      <c r="A129" s="363"/>
      <c r="B129" s="365"/>
      <c r="C129" s="151" t="str">
        <f t="shared" si="1"/>
        <v>Soutes maritimes internationales</v>
      </c>
      <c r="D129" s="270"/>
      <c r="E129" s="155" t="s">
        <v>205</v>
      </c>
      <c r="F129" s="156">
        <v>0</v>
      </c>
      <c r="G129" s="156">
        <v>0</v>
      </c>
      <c r="H129" s="156">
        <v>-14.146033986755761</v>
      </c>
      <c r="I129" s="156">
        <v>0</v>
      </c>
      <c r="J129" s="156">
        <v>-1.5775055692610036</v>
      </c>
      <c r="K129" s="156">
        <v>0</v>
      </c>
      <c r="L129" s="156">
        <v>0</v>
      </c>
      <c r="M129" s="156">
        <v>0</v>
      </c>
      <c r="N129" s="156">
        <v>0</v>
      </c>
      <c r="O129" s="156">
        <v>0</v>
      </c>
      <c r="P129" s="156">
        <v>-0.26729594352549763</v>
      </c>
      <c r="Q129" s="156">
        <v>-5.1217713287694921E-2</v>
      </c>
      <c r="R129" s="156">
        <v>0</v>
      </c>
      <c r="S129" s="156">
        <v>0</v>
      </c>
      <c r="T129" s="156">
        <v>0</v>
      </c>
      <c r="U129" s="156">
        <v>0</v>
      </c>
      <c r="V129" s="156">
        <v>0</v>
      </c>
      <c r="W129" s="166">
        <v>-16.042053212829956</v>
      </c>
    </row>
    <row r="130" spans="1:23" ht="14.4" hidden="1" customHeight="1" outlineLevel="2">
      <c r="A130" s="363"/>
      <c r="B130" s="365"/>
      <c r="C130" s="151" t="str">
        <f t="shared" si="1"/>
        <v>Soutes aériennes internationales</v>
      </c>
      <c r="D130" s="270"/>
      <c r="E130" s="155" t="s">
        <v>206</v>
      </c>
      <c r="F130" s="156">
        <v>0</v>
      </c>
      <c r="G130" s="156">
        <v>0</v>
      </c>
      <c r="H130" s="156">
        <v>-70.066941477886729</v>
      </c>
      <c r="I130" s="156">
        <v>0</v>
      </c>
      <c r="J130" s="156">
        <v>0</v>
      </c>
      <c r="K130" s="156">
        <v>0</v>
      </c>
      <c r="L130" s="156">
        <v>0</v>
      </c>
      <c r="M130" s="156">
        <v>0</v>
      </c>
      <c r="N130" s="156">
        <v>0</v>
      </c>
      <c r="O130" s="156">
        <v>0</v>
      </c>
      <c r="P130" s="156">
        <v>-0.80822492568624593</v>
      </c>
      <c r="Q130" s="156">
        <v>0</v>
      </c>
      <c r="R130" s="156">
        <v>0</v>
      </c>
      <c r="S130" s="156">
        <v>0</v>
      </c>
      <c r="T130" s="156">
        <v>0</v>
      </c>
      <c r="U130" s="156">
        <v>0</v>
      </c>
      <c r="V130" s="156">
        <v>0</v>
      </c>
      <c r="W130" s="166">
        <v>-70.875166403572976</v>
      </c>
    </row>
    <row r="131" spans="1:23" ht="14.4" hidden="1" customHeight="1" outlineLevel="2">
      <c r="A131" s="363"/>
      <c r="B131" s="365"/>
      <c r="C131" s="151" t="str">
        <f t="shared" si="1"/>
        <v>Variations de stocks (+ = déstockage, - = stockage)</v>
      </c>
      <c r="D131" s="270"/>
      <c r="E131" s="155" t="s">
        <v>207</v>
      </c>
      <c r="F131" s="156">
        <v>9.7684723496666986E-2</v>
      </c>
      <c r="G131" s="156">
        <v>-5.9567697000000003E-2</v>
      </c>
      <c r="H131" s="156">
        <v>3.8766666666666671E-2</v>
      </c>
      <c r="I131" s="157">
        <v>0</v>
      </c>
      <c r="J131" s="157">
        <v>0</v>
      </c>
      <c r="K131" s="157">
        <v>0</v>
      </c>
      <c r="L131" s="156">
        <v>0</v>
      </c>
      <c r="M131" s="156">
        <v>0</v>
      </c>
      <c r="N131" s="156">
        <v>0</v>
      </c>
      <c r="O131" s="156">
        <v>0</v>
      </c>
      <c r="P131" s="156">
        <v>0</v>
      </c>
      <c r="Q131" s="156">
        <v>0</v>
      </c>
      <c r="R131" s="156">
        <v>0</v>
      </c>
      <c r="S131" s="156">
        <v>0</v>
      </c>
      <c r="T131" s="156">
        <v>0</v>
      </c>
      <c r="U131" s="156">
        <v>0</v>
      </c>
      <c r="V131" s="156">
        <v>0</v>
      </c>
      <c r="W131" s="166">
        <v>7.6883693163333655E-2</v>
      </c>
    </row>
    <row r="132" spans="1:23" ht="14.4" hidden="1" customHeight="1" outlineLevel="2">
      <c r="A132" s="363"/>
      <c r="B132" s="365"/>
      <c r="C132" s="151" t="str">
        <f t="shared" si="1"/>
        <v>Total approvisionnement / consommation primaire</v>
      </c>
      <c r="D132" s="270"/>
      <c r="E132" s="159" t="s">
        <v>208</v>
      </c>
      <c r="F132" s="167">
        <v>56.578571205662392</v>
      </c>
      <c r="G132" s="167">
        <v>469.48349800017428</v>
      </c>
      <c r="H132" s="167">
        <v>249.62110267007134</v>
      </c>
      <c r="I132" s="160">
        <v>0</v>
      </c>
      <c r="J132" s="160">
        <v>363.29868494426393</v>
      </c>
      <c r="K132" s="160">
        <v>0</v>
      </c>
      <c r="L132" s="167">
        <v>1140.366181818182</v>
      </c>
      <c r="M132" s="167">
        <v>131.59278102869408</v>
      </c>
      <c r="N132" s="167">
        <v>209.71330858200363</v>
      </c>
      <c r="O132" s="167">
        <v>35.969367195660368</v>
      </c>
      <c r="P132" s="167">
        <v>2.0168660897989685</v>
      </c>
      <c r="Q132" s="167">
        <v>8.0918079674097374</v>
      </c>
      <c r="R132" s="167">
        <v>53.123615249788919</v>
      </c>
      <c r="S132" s="167">
        <v>7.3287953727535786</v>
      </c>
      <c r="T132" s="167">
        <v>-68.173110028878966</v>
      </c>
      <c r="U132" s="167">
        <v>0</v>
      </c>
      <c r="V132" s="167">
        <v>0</v>
      </c>
      <c r="W132" s="167">
        <v>2659.0114700955842</v>
      </c>
    </row>
    <row r="133" spans="1:23" ht="14.4" hidden="1" customHeight="1" outlineLevel="2">
      <c r="A133" s="363"/>
      <c r="B133" s="365"/>
      <c r="C133" s="151" t="str">
        <f t="shared" si="1"/>
        <v/>
      </c>
      <c r="D133" s="270"/>
      <c r="E133" s="161"/>
      <c r="F133" s="168"/>
      <c r="G133" s="168"/>
      <c r="H133" s="168"/>
      <c r="I133" s="162"/>
      <c r="J133" s="162"/>
      <c r="K133" s="162"/>
      <c r="L133" s="168"/>
      <c r="M133" s="168"/>
      <c r="N133" s="168"/>
      <c r="O133" s="168"/>
      <c r="P133" s="168"/>
      <c r="Q133" s="168"/>
      <c r="R133" s="168"/>
      <c r="S133" s="168"/>
      <c r="T133" s="168"/>
      <c r="U133" s="168"/>
      <c r="V133" s="168"/>
      <c r="W133" s="168"/>
    </row>
    <row r="134" spans="1:23" ht="14.4" hidden="1" customHeight="1" outlineLevel="2">
      <c r="A134" s="363"/>
      <c r="B134" s="365"/>
      <c r="C134" s="151" t="str">
        <f t="shared" si="1"/>
        <v>Écart statistique</v>
      </c>
      <c r="D134" s="270"/>
      <c r="E134" s="163" t="s">
        <v>209</v>
      </c>
      <c r="F134" s="156">
        <v>0</v>
      </c>
      <c r="G134" s="156">
        <v>4.3623690669338813E-2</v>
      </c>
      <c r="H134" s="156">
        <v>-0.43976848620269193</v>
      </c>
      <c r="I134" s="156">
        <v>0</v>
      </c>
      <c r="J134" s="156">
        <v>0</v>
      </c>
      <c r="K134" s="156">
        <v>0</v>
      </c>
      <c r="L134" s="156">
        <v>0</v>
      </c>
      <c r="M134" s="156">
        <v>0</v>
      </c>
      <c r="N134" s="156">
        <v>0</v>
      </c>
      <c r="O134" s="156">
        <v>0</v>
      </c>
      <c r="P134" s="156">
        <v>0</v>
      </c>
      <c r="Q134" s="156">
        <v>0</v>
      </c>
      <c r="R134" s="156">
        <v>0</v>
      </c>
      <c r="S134" s="156">
        <v>0</v>
      </c>
      <c r="T134" s="156">
        <v>0.19176325930063415</v>
      </c>
      <c r="U134" s="156">
        <v>0</v>
      </c>
      <c r="V134" s="156">
        <v>0</v>
      </c>
      <c r="W134" s="164">
        <v>-0.20438153623271899</v>
      </c>
    </row>
    <row r="135" spans="1:23" ht="14.4" hidden="1" customHeight="1" outlineLevel="2">
      <c r="A135" s="363"/>
      <c r="B135" s="365"/>
      <c r="C135" s="151" t="str">
        <f t="shared" ref="C135:C198" si="2">IF(ISBLANK(E135),IF(ISBLANK(F135),"",F135),E135)</f>
        <v>Production d'électricité</v>
      </c>
      <c r="D135" s="270"/>
      <c r="E135" s="163" t="s">
        <v>13</v>
      </c>
      <c r="F135" s="156">
        <v>4.835828010753545</v>
      </c>
      <c r="G135" s="156">
        <v>0</v>
      </c>
      <c r="H135" s="156">
        <v>11.382583398037752</v>
      </c>
      <c r="I135" s="156">
        <v>0</v>
      </c>
      <c r="J135" s="156">
        <v>51.558935361216733</v>
      </c>
      <c r="K135" s="156">
        <v>0</v>
      </c>
      <c r="L135" s="156">
        <v>1140.366181818182</v>
      </c>
      <c r="M135" s="156">
        <v>131.59278102869408</v>
      </c>
      <c r="N135" s="156">
        <v>28.82366274666202</v>
      </c>
      <c r="O135" s="156">
        <v>9.3769492094796991</v>
      </c>
      <c r="P135" s="156">
        <v>1.7316633467216267</v>
      </c>
      <c r="Q135" s="156">
        <v>5.5915204849464306</v>
      </c>
      <c r="R135" s="156">
        <v>0</v>
      </c>
      <c r="S135" s="156">
        <v>1.1140677190035722</v>
      </c>
      <c r="T135" s="156">
        <v>-557.16380034371821</v>
      </c>
      <c r="U135" s="156">
        <v>0</v>
      </c>
      <c r="V135" s="156">
        <v>0</v>
      </c>
      <c r="W135" s="164">
        <v>829.21037277997925</v>
      </c>
    </row>
    <row r="136" spans="1:23" ht="14.4" hidden="1" customHeight="1" outlineLevel="2">
      <c r="A136" s="363"/>
      <c r="B136" s="365"/>
      <c r="C136" s="151" t="str">
        <f t="shared" si="2"/>
        <v>Production de chaleur</v>
      </c>
      <c r="D136" s="270"/>
      <c r="E136" s="163" t="s">
        <v>210</v>
      </c>
      <c r="F136" s="156">
        <v>0.91608303865884644</v>
      </c>
      <c r="G136" s="156">
        <v>0</v>
      </c>
      <c r="H136" s="156">
        <v>7.6404494382022473E-2</v>
      </c>
      <c r="I136" s="156">
        <v>0</v>
      </c>
      <c r="J136" s="156">
        <v>17.459170079326121</v>
      </c>
      <c r="K136" s="156">
        <v>0</v>
      </c>
      <c r="L136" s="156">
        <v>0</v>
      </c>
      <c r="M136" s="156">
        <v>0</v>
      </c>
      <c r="N136" s="156">
        <v>16.594483896294648</v>
      </c>
      <c r="O136" s="156">
        <v>14.665385094308443</v>
      </c>
      <c r="P136" s="156">
        <v>0</v>
      </c>
      <c r="Q136" s="156">
        <v>2.8072805763962849</v>
      </c>
      <c r="R136" s="156">
        <v>0</v>
      </c>
      <c r="S136" s="156">
        <v>2.858125680362487</v>
      </c>
      <c r="T136" s="156">
        <v>0</v>
      </c>
      <c r="U136" s="156">
        <v>-49.409592480723035</v>
      </c>
      <c r="V136" s="156">
        <v>0</v>
      </c>
      <c r="W136" s="164">
        <v>5.9673403790058179</v>
      </c>
    </row>
    <row r="137" spans="1:23" ht="14.4" hidden="1" customHeight="1" outlineLevel="2">
      <c r="A137" s="363"/>
      <c r="B137" s="365"/>
      <c r="C137" s="151" t="str">
        <f t="shared" si="2"/>
        <v>Production de gaz renouvelable</v>
      </c>
      <c r="D137" s="270"/>
      <c r="E137" s="163" t="s">
        <v>211</v>
      </c>
      <c r="F137" s="156">
        <v>0</v>
      </c>
      <c r="G137" s="156">
        <v>0</v>
      </c>
      <c r="H137" s="156">
        <v>0</v>
      </c>
      <c r="I137" s="156">
        <v>0</v>
      </c>
      <c r="J137" s="156">
        <v>0</v>
      </c>
      <c r="K137" s="156">
        <v>0</v>
      </c>
      <c r="L137" s="156">
        <v>0</v>
      </c>
      <c r="M137" s="156">
        <v>0</v>
      </c>
      <c r="N137" s="156">
        <v>14.327084389173743</v>
      </c>
      <c r="O137" s="156">
        <v>3.0130689970600826</v>
      </c>
      <c r="P137" s="156">
        <v>0</v>
      </c>
      <c r="Q137" s="156">
        <v>-8.6700766931169131</v>
      </c>
      <c r="R137" s="156">
        <v>0</v>
      </c>
      <c r="S137" s="156">
        <v>0</v>
      </c>
      <c r="T137" s="156">
        <v>0</v>
      </c>
      <c r="U137" s="156">
        <v>0</v>
      </c>
      <c r="V137" s="156">
        <v>0</v>
      </c>
      <c r="W137" s="164">
        <v>8.6700766931169131</v>
      </c>
    </row>
    <row r="138" spans="1:23" ht="14.4" hidden="1" customHeight="1" outlineLevel="2">
      <c r="A138" s="363"/>
      <c r="B138" s="365"/>
      <c r="C138" s="151" t="str">
        <f t="shared" si="2"/>
        <v>Production de gaz de synthèse</v>
      </c>
      <c r="D138" s="270"/>
      <c r="E138" s="163" t="s">
        <v>212</v>
      </c>
      <c r="F138" s="156">
        <v>0</v>
      </c>
      <c r="G138" s="156">
        <v>0</v>
      </c>
      <c r="H138" s="156">
        <v>0</v>
      </c>
      <c r="I138" s="156">
        <v>0</v>
      </c>
      <c r="J138" s="156">
        <v>0</v>
      </c>
      <c r="K138" s="156">
        <v>0</v>
      </c>
      <c r="L138" s="156">
        <v>0</v>
      </c>
      <c r="M138" s="156">
        <v>0</v>
      </c>
      <c r="N138" s="156">
        <v>0</v>
      </c>
      <c r="O138" s="156">
        <v>0</v>
      </c>
      <c r="P138" s="156">
        <v>0</v>
      </c>
      <c r="Q138" s="156">
        <v>0</v>
      </c>
      <c r="R138" s="156">
        <v>0</v>
      </c>
      <c r="S138" s="156">
        <v>0</v>
      </c>
      <c r="T138" s="156">
        <v>0</v>
      </c>
      <c r="U138" s="156">
        <v>0</v>
      </c>
      <c r="V138" s="156">
        <v>0</v>
      </c>
      <c r="W138" s="164">
        <v>0</v>
      </c>
    </row>
    <row r="139" spans="1:23" ht="14.4" hidden="1" customHeight="1" outlineLevel="2">
      <c r="A139" s="363"/>
      <c r="B139" s="365"/>
      <c r="C139" s="151" t="str">
        <f t="shared" si="2"/>
        <v>Raffinage de pétrole</v>
      </c>
      <c r="D139" s="270"/>
      <c r="E139" s="163" t="s">
        <v>213</v>
      </c>
      <c r="F139" s="156">
        <v>0</v>
      </c>
      <c r="G139" s="156">
        <v>486.58807121991185</v>
      </c>
      <c r="H139" s="156">
        <v>-481.75096431079294</v>
      </c>
      <c r="I139" s="156">
        <v>0</v>
      </c>
      <c r="J139" s="156">
        <v>0</v>
      </c>
      <c r="K139" s="156">
        <v>0</v>
      </c>
      <c r="L139" s="156">
        <v>0</v>
      </c>
      <c r="M139" s="156">
        <v>0</v>
      </c>
      <c r="N139" s="156">
        <v>0</v>
      </c>
      <c r="O139" s="156">
        <v>0</v>
      </c>
      <c r="P139" s="156">
        <v>0</v>
      </c>
      <c r="Q139" s="156">
        <v>0</v>
      </c>
      <c r="R139" s="156">
        <v>0</v>
      </c>
      <c r="S139" s="156">
        <v>0</v>
      </c>
      <c r="T139" s="156">
        <v>0</v>
      </c>
      <c r="U139" s="156">
        <v>0</v>
      </c>
      <c r="V139" s="156">
        <v>0</v>
      </c>
      <c r="W139" s="164">
        <v>4.8371069091189547</v>
      </c>
    </row>
    <row r="140" spans="1:23" ht="14.4" hidden="1" customHeight="1" outlineLevel="2">
      <c r="A140" s="363"/>
      <c r="B140" s="365"/>
      <c r="C140" s="151" t="str">
        <f t="shared" si="2"/>
        <v>Production de biocarburants</v>
      </c>
      <c r="D140" s="270"/>
      <c r="E140" s="163" t="s">
        <v>214</v>
      </c>
      <c r="F140" s="156">
        <v>0</v>
      </c>
      <c r="G140" s="156">
        <v>0</v>
      </c>
      <c r="H140" s="156">
        <v>0</v>
      </c>
      <c r="I140" s="156">
        <v>0</v>
      </c>
      <c r="J140" s="156">
        <v>0</v>
      </c>
      <c r="K140" s="156">
        <v>0</v>
      </c>
      <c r="L140" s="156">
        <v>0</v>
      </c>
      <c r="M140" s="156">
        <v>0</v>
      </c>
      <c r="N140" s="156">
        <v>64.103043328203896</v>
      </c>
      <c r="O140" s="156">
        <v>7.2727272727272725</v>
      </c>
      <c r="P140" s="156">
        <v>-39.256673830512149</v>
      </c>
      <c r="Q140" s="156">
        <v>0</v>
      </c>
      <c r="R140" s="156">
        <v>0</v>
      </c>
      <c r="S140" s="156">
        <v>0</v>
      </c>
      <c r="T140" s="156">
        <v>0</v>
      </c>
      <c r="U140" s="156">
        <v>0</v>
      </c>
      <c r="V140" s="156">
        <v>0</v>
      </c>
      <c r="W140" s="164">
        <v>32.119096770419013</v>
      </c>
    </row>
    <row r="141" spans="1:23" ht="14.4" hidden="1" customHeight="1" outlineLevel="2">
      <c r="A141" s="363"/>
      <c r="B141" s="365"/>
      <c r="C141" s="151" t="str">
        <f t="shared" si="2"/>
        <v>Production d'e-fuels</v>
      </c>
      <c r="D141" s="270"/>
      <c r="E141" s="163" t="s">
        <v>215</v>
      </c>
      <c r="F141" s="156">
        <v>0</v>
      </c>
      <c r="G141" s="156">
        <v>0</v>
      </c>
      <c r="H141" s="156">
        <v>0</v>
      </c>
      <c r="I141" s="156">
        <v>0</v>
      </c>
      <c r="J141" s="156">
        <v>0</v>
      </c>
      <c r="K141" s="156">
        <v>0</v>
      </c>
      <c r="L141" s="156">
        <v>0</v>
      </c>
      <c r="M141" s="156">
        <v>0</v>
      </c>
      <c r="N141" s="156">
        <v>0</v>
      </c>
      <c r="O141" s="156">
        <v>0</v>
      </c>
      <c r="P141" s="156">
        <v>0</v>
      </c>
      <c r="Q141" s="156">
        <v>0</v>
      </c>
      <c r="R141" s="156">
        <v>0</v>
      </c>
      <c r="S141" s="156">
        <v>0</v>
      </c>
      <c r="T141" s="156">
        <v>0</v>
      </c>
      <c r="U141" s="156">
        <v>0</v>
      </c>
      <c r="V141" s="156">
        <v>0</v>
      </c>
      <c r="W141" s="164">
        <v>0</v>
      </c>
    </row>
    <row r="142" spans="1:23" ht="14.4" hidden="1" customHeight="1" outlineLevel="2">
      <c r="A142" s="363"/>
      <c r="B142" s="365"/>
      <c r="C142" s="151" t="str">
        <f t="shared" si="2"/>
        <v>Production d'hydrogène</v>
      </c>
      <c r="D142" s="270"/>
      <c r="E142" s="163" t="s">
        <v>216</v>
      </c>
      <c r="F142" s="156">
        <v>0</v>
      </c>
      <c r="G142" s="156">
        <v>0</v>
      </c>
      <c r="H142" s="156">
        <v>0</v>
      </c>
      <c r="I142" s="156">
        <v>0</v>
      </c>
      <c r="J142" s="156">
        <v>9.088834659649778E-3</v>
      </c>
      <c r="K142" s="156">
        <v>0</v>
      </c>
      <c r="L142" s="156">
        <v>0</v>
      </c>
      <c r="M142" s="156">
        <v>0</v>
      </c>
      <c r="N142" s="156">
        <v>0</v>
      </c>
      <c r="O142" s="156">
        <v>1.8711111301954363E-4</v>
      </c>
      <c r="P142" s="156">
        <v>0</v>
      </c>
      <c r="Q142" s="156">
        <v>2.6672099132740116E-4</v>
      </c>
      <c r="R142" s="156">
        <v>0</v>
      </c>
      <c r="S142" s="156">
        <v>0</v>
      </c>
      <c r="T142" s="156">
        <v>9.8737095024159158E-3</v>
      </c>
      <c r="U142" s="156">
        <v>0</v>
      </c>
      <c r="V142" s="156">
        <v>-1.3097777911368052E-2</v>
      </c>
      <c r="W142" s="164">
        <v>6.3185983550445891E-3</v>
      </c>
    </row>
    <row r="143" spans="1:23" ht="14.4" hidden="1" customHeight="1" outlineLevel="2">
      <c r="A143" s="363"/>
      <c r="B143" s="365"/>
      <c r="C143" s="151" t="str">
        <f t="shared" si="2"/>
        <v>Autres transformations, transferts</v>
      </c>
      <c r="D143" s="270"/>
      <c r="E143" s="163" t="s">
        <v>217</v>
      </c>
      <c r="F143" s="156">
        <v>29.38177265625</v>
      </c>
      <c r="G143" s="156">
        <v>-17.148154004727562</v>
      </c>
      <c r="H143" s="156">
        <v>22.489802254421409</v>
      </c>
      <c r="I143" s="156">
        <v>0</v>
      </c>
      <c r="J143" s="156">
        <v>0</v>
      </c>
      <c r="K143" s="156">
        <v>0</v>
      </c>
      <c r="L143" s="156">
        <v>0</v>
      </c>
      <c r="M143" s="156">
        <v>0</v>
      </c>
      <c r="N143" s="156">
        <v>0</v>
      </c>
      <c r="O143" s="156">
        <v>0</v>
      </c>
      <c r="P143" s="156">
        <v>0</v>
      </c>
      <c r="Q143" s="156">
        <v>0</v>
      </c>
      <c r="R143" s="156">
        <v>0</v>
      </c>
      <c r="S143" s="156">
        <v>0</v>
      </c>
      <c r="T143" s="156">
        <v>0</v>
      </c>
      <c r="U143" s="156">
        <v>0</v>
      </c>
      <c r="V143" s="156">
        <v>0</v>
      </c>
      <c r="W143" s="164">
        <v>34.723420905943847</v>
      </c>
    </row>
    <row r="144" spans="1:23" ht="14.4" hidden="1" customHeight="1" outlineLevel="2">
      <c r="A144" s="363"/>
      <c r="B144" s="365"/>
      <c r="C144" s="151" t="str">
        <f t="shared" si="2"/>
        <v>Usages internes de la branche énergie</v>
      </c>
      <c r="D144" s="270"/>
      <c r="E144" s="163" t="s">
        <v>218</v>
      </c>
      <c r="F144" s="156">
        <v>11.426244921875002</v>
      </c>
      <c r="G144" s="156">
        <v>0</v>
      </c>
      <c r="H144" s="156">
        <v>16.8093165938817</v>
      </c>
      <c r="I144" s="156">
        <v>0</v>
      </c>
      <c r="J144" s="156">
        <v>4.6311480761002466</v>
      </c>
      <c r="K144" s="156">
        <v>0</v>
      </c>
      <c r="L144" s="156">
        <v>0</v>
      </c>
      <c r="M144" s="156">
        <v>0</v>
      </c>
      <c r="N144" s="156">
        <v>0</v>
      </c>
      <c r="O144" s="156">
        <v>0</v>
      </c>
      <c r="P144" s="156">
        <v>0</v>
      </c>
      <c r="Q144" s="156">
        <v>0.13590569661535043</v>
      </c>
      <c r="R144" s="156">
        <v>0</v>
      </c>
      <c r="S144" s="156">
        <v>0</v>
      </c>
      <c r="T144" s="156">
        <v>36.03767991180986</v>
      </c>
      <c r="U144" s="156">
        <v>0</v>
      </c>
      <c r="V144" s="156">
        <v>0</v>
      </c>
      <c r="W144" s="164">
        <v>69.040295200282159</v>
      </c>
    </row>
    <row r="145" spans="1:23" ht="14.4" hidden="1" customHeight="1" outlineLevel="2">
      <c r="A145" s="363"/>
      <c r="B145" s="365"/>
      <c r="C145" s="151" t="str">
        <f t="shared" si="2"/>
        <v>Pertes de transport et de distribution</v>
      </c>
      <c r="D145" s="270"/>
      <c r="E145" s="163" t="s">
        <v>219</v>
      </c>
      <c r="F145" s="156">
        <v>0</v>
      </c>
      <c r="G145" s="156">
        <v>0</v>
      </c>
      <c r="H145" s="156">
        <v>0</v>
      </c>
      <c r="I145" s="156">
        <v>0</v>
      </c>
      <c r="J145" s="156">
        <v>3.3715844412413873</v>
      </c>
      <c r="K145" s="156">
        <v>0</v>
      </c>
      <c r="L145" s="156">
        <v>0</v>
      </c>
      <c r="M145" s="156">
        <v>0</v>
      </c>
      <c r="N145" s="156">
        <v>0</v>
      </c>
      <c r="O145" s="156">
        <v>0</v>
      </c>
      <c r="P145" s="156">
        <v>0</v>
      </c>
      <c r="Q145" s="156">
        <v>9.8942535340014265E-2</v>
      </c>
      <c r="R145" s="156">
        <v>0</v>
      </c>
      <c r="S145" s="156">
        <v>0</v>
      </c>
      <c r="T145" s="156">
        <v>37.457551351608529</v>
      </c>
      <c r="U145" s="156">
        <v>3.8315797688846689</v>
      </c>
      <c r="V145" s="156">
        <v>0</v>
      </c>
      <c r="W145" s="164">
        <v>44.759658097074599</v>
      </c>
    </row>
    <row r="146" spans="1:23" ht="14.4" hidden="1" customHeight="1" outlineLevel="2">
      <c r="A146" s="363"/>
      <c r="B146" s="365"/>
      <c r="C146" s="151" t="str">
        <f t="shared" si="2"/>
        <v>Consommation nette de la branche énergie</v>
      </c>
      <c r="D146" s="270"/>
      <c r="E146" s="159" t="s">
        <v>220</v>
      </c>
      <c r="F146" s="167">
        <v>46.559928627537396</v>
      </c>
      <c r="G146" s="167">
        <v>469.48354090585366</v>
      </c>
      <c r="H146" s="167">
        <v>-431.43262605627274</v>
      </c>
      <c r="I146" s="160">
        <v>0</v>
      </c>
      <c r="J146" s="160">
        <v>77.029926792544131</v>
      </c>
      <c r="K146" s="160">
        <v>0</v>
      </c>
      <c r="L146" s="167">
        <v>1140.366181818182</v>
      </c>
      <c r="M146" s="167">
        <v>131.59278102869408</v>
      </c>
      <c r="N146" s="167">
        <v>123.8482743603343</v>
      </c>
      <c r="O146" s="167">
        <v>34.328317684688514</v>
      </c>
      <c r="P146" s="167">
        <v>-37.525010483790524</v>
      </c>
      <c r="Q146" s="167">
        <v>-3.6160678827505399E-2</v>
      </c>
      <c r="R146" s="167">
        <v>0</v>
      </c>
      <c r="S146" s="167">
        <v>3.9721933993660592</v>
      </c>
      <c r="T146" s="167">
        <v>-483.4669321114967</v>
      </c>
      <c r="U146" s="167">
        <v>-45.578012711838369</v>
      </c>
      <c r="V146" s="167">
        <v>-1.3097777911368052E-2</v>
      </c>
      <c r="W146" s="167">
        <v>1029.1293047970628</v>
      </c>
    </row>
    <row r="147" spans="1:23" ht="14.4" hidden="1" customHeight="1" outlineLevel="2">
      <c r="A147" s="363"/>
      <c r="B147" s="365"/>
      <c r="C147" s="151">
        <f t="shared" si="2"/>
        <v>0</v>
      </c>
      <c r="D147" s="270"/>
      <c r="E147" s="161"/>
      <c r="F147" s="168">
        <v>0</v>
      </c>
      <c r="G147" s="168">
        <v>0</v>
      </c>
      <c r="H147" s="168">
        <v>0</v>
      </c>
      <c r="I147" s="162"/>
      <c r="J147" s="162"/>
      <c r="K147" s="162"/>
      <c r="L147" s="168">
        <v>0</v>
      </c>
      <c r="M147" s="168">
        <v>0</v>
      </c>
      <c r="N147" s="168">
        <v>0</v>
      </c>
      <c r="O147" s="168">
        <v>0</v>
      </c>
      <c r="P147" s="168">
        <v>0</v>
      </c>
      <c r="Q147" s="168">
        <v>0</v>
      </c>
      <c r="R147" s="168">
        <v>0</v>
      </c>
      <c r="S147" s="168">
        <v>0</v>
      </c>
      <c r="T147" s="168">
        <v>0</v>
      </c>
      <c r="U147" s="168">
        <v>0</v>
      </c>
      <c r="V147" s="168">
        <v>0</v>
      </c>
      <c r="W147" s="168">
        <v>0</v>
      </c>
    </row>
    <row r="148" spans="1:23" ht="14.4" hidden="1" customHeight="1" outlineLevel="2">
      <c r="A148" s="363"/>
      <c r="B148" s="365"/>
      <c r="C148" s="151" t="str">
        <f t="shared" si="2"/>
        <v>Industrie</v>
      </c>
      <c r="D148" s="270"/>
      <c r="E148" s="163" t="s">
        <v>0</v>
      </c>
      <c r="F148" s="156">
        <v>10.018642578125</v>
      </c>
      <c r="G148" s="156">
        <v>0</v>
      </c>
      <c r="H148" s="156">
        <v>27.288390422381443</v>
      </c>
      <c r="I148" s="156">
        <v>0</v>
      </c>
      <c r="J148" s="156">
        <v>102.63146281741182</v>
      </c>
      <c r="K148" s="156">
        <v>0</v>
      </c>
      <c r="L148" s="156">
        <v>0</v>
      </c>
      <c r="M148" s="156">
        <v>0</v>
      </c>
      <c r="N148" s="156">
        <v>16.08532715212851</v>
      </c>
      <c r="O148" s="156">
        <v>1.6144522001172226</v>
      </c>
      <c r="P148" s="156">
        <v>0.90494585208635825</v>
      </c>
      <c r="Q148" s="156">
        <v>3.0307532512358821</v>
      </c>
      <c r="R148" s="156">
        <v>2.6356574892997744E-4</v>
      </c>
      <c r="S148" s="156">
        <v>3.8591468753626534E-4</v>
      </c>
      <c r="T148" s="156">
        <v>105.93432385553928</v>
      </c>
      <c r="U148" s="156">
        <v>21.273054926653952</v>
      </c>
      <c r="V148" s="156">
        <v>1.1128921508789063E-2</v>
      </c>
      <c r="W148" s="164">
        <v>288.79313145762472</v>
      </c>
    </row>
    <row r="149" spans="1:23" ht="14.4" hidden="1" customHeight="1" outlineLevel="2">
      <c r="A149" s="363"/>
      <c r="B149" s="365"/>
      <c r="C149" s="151" t="str">
        <f t="shared" si="2"/>
        <v>Transport</v>
      </c>
      <c r="D149" s="270"/>
      <c r="E149" s="163" t="s">
        <v>1</v>
      </c>
      <c r="F149" s="156">
        <v>0</v>
      </c>
      <c r="G149" s="156">
        <v>0</v>
      </c>
      <c r="H149" s="156">
        <v>447.37996177275272</v>
      </c>
      <c r="I149" s="156">
        <v>0</v>
      </c>
      <c r="J149" s="156">
        <v>3.712119851154501</v>
      </c>
      <c r="K149" s="156">
        <v>0</v>
      </c>
      <c r="L149" s="156">
        <v>0</v>
      </c>
      <c r="M149" s="156">
        <v>0</v>
      </c>
      <c r="N149" s="156">
        <v>0</v>
      </c>
      <c r="O149" s="156">
        <v>0</v>
      </c>
      <c r="P149" s="156">
        <v>36.900974121095516</v>
      </c>
      <c r="Q149" s="156">
        <v>0.10893588933041555</v>
      </c>
      <c r="R149" s="156">
        <v>0</v>
      </c>
      <c r="S149" s="156">
        <v>0</v>
      </c>
      <c r="T149" s="156">
        <v>12.510007033489419</v>
      </c>
      <c r="U149" s="156">
        <v>0</v>
      </c>
      <c r="V149" s="156">
        <v>1.9688564025789894E-3</v>
      </c>
      <c r="W149" s="164">
        <v>500.61396752422525</v>
      </c>
    </row>
    <row r="150" spans="1:23" ht="14.4" hidden="1" customHeight="1" outlineLevel="2">
      <c r="A150" s="363"/>
      <c r="B150" s="365"/>
      <c r="C150" s="151" t="str">
        <f t="shared" si="2"/>
        <v>Résidentiel</v>
      </c>
      <c r="D150" s="270"/>
      <c r="E150" s="163" t="s">
        <v>221</v>
      </c>
      <c r="F150" s="156">
        <v>0</v>
      </c>
      <c r="G150" s="156">
        <v>0</v>
      </c>
      <c r="H150" s="156">
        <v>37.168347044362029</v>
      </c>
      <c r="I150" s="156">
        <v>0</v>
      </c>
      <c r="J150" s="156">
        <v>105.58462449268612</v>
      </c>
      <c r="K150" s="156" t="s">
        <v>227</v>
      </c>
      <c r="L150" s="156">
        <v>0</v>
      </c>
      <c r="M150" s="156">
        <v>0</v>
      </c>
      <c r="N150" s="156">
        <v>68.974605106023375</v>
      </c>
      <c r="O150" s="156">
        <v>0</v>
      </c>
      <c r="P150" s="156">
        <v>0</v>
      </c>
      <c r="Q150" s="156">
        <v>3.0984869643019559</v>
      </c>
      <c r="R150" s="156">
        <v>41.315120768320078</v>
      </c>
      <c r="S150" s="156">
        <v>1.9640741956671979</v>
      </c>
      <c r="T150" s="156">
        <v>155.62989277715715</v>
      </c>
      <c r="U150" s="156">
        <v>14.604794477333373</v>
      </c>
      <c r="V150" s="156">
        <v>0</v>
      </c>
      <c r="W150" s="164">
        <v>428.33994582585126</v>
      </c>
    </row>
    <row r="151" spans="1:23" ht="14.4" hidden="1" customHeight="1" outlineLevel="2">
      <c r="A151" s="363"/>
      <c r="B151" s="365"/>
      <c r="C151" s="151" t="str">
        <f t="shared" si="2"/>
        <v>Tertiaire</v>
      </c>
      <c r="D151" s="270"/>
      <c r="E151" s="163" t="s">
        <v>222</v>
      </c>
      <c r="F151" s="156">
        <v>0</v>
      </c>
      <c r="G151" s="156">
        <v>0</v>
      </c>
      <c r="H151" s="156">
        <v>23.715570727539511</v>
      </c>
      <c r="I151" s="156">
        <v>0</v>
      </c>
      <c r="J151" s="156">
        <v>61.779501837367455</v>
      </c>
      <c r="K151" s="156" t="s">
        <v>227</v>
      </c>
      <c r="L151" s="156">
        <v>0</v>
      </c>
      <c r="M151" s="156">
        <v>0</v>
      </c>
      <c r="N151" s="156">
        <v>0.22303165652110152</v>
      </c>
      <c r="O151" s="156">
        <v>2.6597310854625942E-2</v>
      </c>
      <c r="P151" s="156">
        <v>0</v>
      </c>
      <c r="Q151" s="156">
        <v>1.8129815967419738</v>
      </c>
      <c r="R151" s="156">
        <v>11.808230915719909</v>
      </c>
      <c r="S151" s="156">
        <v>1.2995656376533762</v>
      </c>
      <c r="T151" s="156">
        <v>133.42360939843445</v>
      </c>
      <c r="U151" s="156">
        <v>9.7001633078510334</v>
      </c>
      <c r="V151" s="156">
        <v>0</v>
      </c>
      <c r="W151" s="164">
        <v>243.78925238868345</v>
      </c>
    </row>
    <row r="152" spans="1:23" ht="14.4" hidden="1" customHeight="1" outlineLevel="2">
      <c r="A152" s="363"/>
      <c r="B152" s="365"/>
      <c r="C152" s="151" t="str">
        <f t="shared" si="2"/>
        <v>Agriculture</v>
      </c>
      <c r="D152" s="270"/>
      <c r="E152" s="163" t="s">
        <v>118</v>
      </c>
      <c r="F152" s="156">
        <v>0</v>
      </c>
      <c r="G152" s="156">
        <v>0</v>
      </c>
      <c r="H152" s="156">
        <v>38.751910471519651</v>
      </c>
      <c r="I152" s="156">
        <v>0</v>
      </c>
      <c r="J152" s="156">
        <v>2.6174241940691849</v>
      </c>
      <c r="K152" s="156">
        <v>0</v>
      </c>
      <c r="L152" s="156">
        <v>0</v>
      </c>
      <c r="M152" s="156">
        <v>0</v>
      </c>
      <c r="N152" s="156">
        <v>0.58207030699632778</v>
      </c>
      <c r="O152" s="156">
        <v>0</v>
      </c>
      <c r="P152" s="156">
        <v>1.7359566004076186</v>
      </c>
      <c r="Q152" s="156">
        <v>7.6810944627015348E-2</v>
      </c>
      <c r="R152" s="156">
        <v>0</v>
      </c>
      <c r="S152" s="156">
        <v>9.2576225379409571E-2</v>
      </c>
      <c r="T152" s="156">
        <v>7.7959890179974387</v>
      </c>
      <c r="U152" s="156">
        <v>0</v>
      </c>
      <c r="V152" s="156">
        <v>0</v>
      </c>
      <c r="W152" s="164">
        <v>51.652737760996644</v>
      </c>
    </row>
    <row r="153" spans="1:23" ht="14.4" hidden="1" customHeight="1" outlineLevel="2">
      <c r="A153" s="363"/>
      <c r="B153" s="365"/>
      <c r="C153" s="151" t="str">
        <f t="shared" si="2"/>
        <v>Puits technologiques</v>
      </c>
      <c r="D153" s="270"/>
      <c r="E153" s="163" t="s">
        <v>223</v>
      </c>
      <c r="F153" s="156">
        <v>0</v>
      </c>
      <c r="G153" s="156">
        <v>0</v>
      </c>
      <c r="H153" s="156">
        <v>0</v>
      </c>
      <c r="I153" s="156">
        <v>0</v>
      </c>
      <c r="J153" s="156">
        <v>0</v>
      </c>
      <c r="K153" s="156">
        <v>0</v>
      </c>
      <c r="L153" s="156">
        <v>0</v>
      </c>
      <c r="M153" s="156">
        <v>0</v>
      </c>
      <c r="N153" s="156">
        <v>0</v>
      </c>
      <c r="O153" s="156">
        <v>0</v>
      </c>
      <c r="P153" s="156">
        <v>0</v>
      </c>
      <c r="Q153" s="156">
        <v>0</v>
      </c>
      <c r="R153" s="156">
        <v>0</v>
      </c>
      <c r="S153" s="156">
        <v>0</v>
      </c>
      <c r="T153" s="156">
        <v>0</v>
      </c>
      <c r="U153" s="156">
        <v>0</v>
      </c>
      <c r="V153" s="156">
        <v>0</v>
      </c>
      <c r="W153" s="164">
        <v>0</v>
      </c>
    </row>
    <row r="154" spans="1:23" ht="14.4" hidden="1" customHeight="1" outlineLevel="2">
      <c r="A154" s="363"/>
      <c r="B154" s="365"/>
      <c r="C154" s="151" t="str">
        <f t="shared" si="2"/>
        <v>Consommation finale énergétique</v>
      </c>
      <c r="D154" s="270"/>
      <c r="E154" s="159" t="s">
        <v>224</v>
      </c>
      <c r="F154" s="167">
        <v>10.018642578125</v>
      </c>
      <c r="G154" s="167">
        <v>0</v>
      </c>
      <c r="H154" s="167">
        <v>574.30418043855536</v>
      </c>
      <c r="I154" s="160">
        <v>0</v>
      </c>
      <c r="J154" s="160">
        <v>276.32513319268907</v>
      </c>
      <c r="K154" s="160">
        <v>0</v>
      </c>
      <c r="L154" s="167">
        <v>0</v>
      </c>
      <c r="M154" s="167">
        <v>0</v>
      </c>
      <c r="N154" s="167">
        <v>85.865034221669319</v>
      </c>
      <c r="O154" s="167">
        <v>1.6410495109718486</v>
      </c>
      <c r="P154" s="167">
        <v>39.541876573589491</v>
      </c>
      <c r="Q154" s="167">
        <v>8.1279686462372425</v>
      </c>
      <c r="R154" s="167">
        <v>53.123615249788919</v>
      </c>
      <c r="S154" s="167">
        <v>3.3566019733875199</v>
      </c>
      <c r="T154" s="167">
        <v>415.29382208261779</v>
      </c>
      <c r="U154" s="167">
        <v>45.578012711838362</v>
      </c>
      <c r="V154" s="167">
        <v>1.3097777911368052E-2</v>
      </c>
      <c r="W154" s="167">
        <v>1513.1890349573812</v>
      </c>
    </row>
    <row r="155" spans="1:23" ht="14.4" hidden="1" customHeight="1" outlineLevel="2">
      <c r="A155" s="363"/>
      <c r="B155" s="365"/>
      <c r="C155" s="151" t="str">
        <f t="shared" si="2"/>
        <v>Consommation finale non énergétique</v>
      </c>
      <c r="D155" s="270"/>
      <c r="E155" s="155" t="s">
        <v>225</v>
      </c>
      <c r="F155" s="156">
        <v>0</v>
      </c>
      <c r="G155" s="156">
        <v>0</v>
      </c>
      <c r="H155" s="156">
        <v>106.74952465832556</v>
      </c>
      <c r="I155" s="156">
        <v>0</v>
      </c>
      <c r="J155" s="156">
        <v>9.9436249590307249</v>
      </c>
      <c r="K155" s="156">
        <v>0</v>
      </c>
      <c r="L155" s="156">
        <v>0</v>
      </c>
      <c r="M155" s="156">
        <v>0</v>
      </c>
      <c r="N155" s="156">
        <v>0</v>
      </c>
      <c r="O155" s="156">
        <v>0</v>
      </c>
      <c r="P155" s="156">
        <v>0</v>
      </c>
      <c r="Q155" s="156">
        <v>0</v>
      </c>
      <c r="R155" s="156">
        <v>0</v>
      </c>
      <c r="S155" s="156">
        <v>0</v>
      </c>
      <c r="T155" s="156">
        <v>0</v>
      </c>
      <c r="U155" s="156">
        <v>0</v>
      </c>
      <c r="V155" s="156">
        <v>0</v>
      </c>
      <c r="W155" s="164">
        <v>116.69314961735628</v>
      </c>
    </row>
    <row r="156" spans="1:23" ht="14.4" hidden="1" customHeight="1" outlineLevel="2">
      <c r="A156" s="363"/>
      <c r="B156" s="365"/>
      <c r="C156" s="151" t="str">
        <f t="shared" si="2"/>
        <v>Consommation finale</v>
      </c>
      <c r="D156" s="270"/>
      <c r="E156" s="159" t="s">
        <v>226</v>
      </c>
      <c r="F156" s="167">
        <v>10.018642578125</v>
      </c>
      <c r="G156" s="167">
        <v>0</v>
      </c>
      <c r="H156" s="167">
        <v>681.05370509688089</v>
      </c>
      <c r="I156" s="160">
        <v>0</v>
      </c>
      <c r="J156" s="160">
        <v>286.26875815171979</v>
      </c>
      <c r="K156" s="160">
        <v>0</v>
      </c>
      <c r="L156" s="167">
        <v>0</v>
      </c>
      <c r="M156" s="167">
        <v>0</v>
      </c>
      <c r="N156" s="167">
        <v>85.865034221669319</v>
      </c>
      <c r="O156" s="167">
        <v>1.6410495109718486</v>
      </c>
      <c r="P156" s="167">
        <v>39.541876573589491</v>
      </c>
      <c r="Q156" s="167">
        <v>8.1279686462372425</v>
      </c>
      <c r="R156" s="167">
        <v>53.123615249788919</v>
      </c>
      <c r="S156" s="167">
        <v>3.3566019733875199</v>
      </c>
      <c r="T156" s="167">
        <v>415.29382208261779</v>
      </c>
      <c r="U156" s="167">
        <v>45.578012711838362</v>
      </c>
      <c r="V156" s="167">
        <v>1.3097777911368052E-2</v>
      </c>
      <c r="W156" s="167">
        <v>1629.8821845747375</v>
      </c>
    </row>
    <row r="157" spans="1:23" outlineLevel="1" collapsed="1">
      <c r="A157" s="363"/>
      <c r="B157" s="365"/>
      <c r="C157" s="151" t="str">
        <f t="shared" si="2"/>
        <v/>
      </c>
      <c r="D157" s="269"/>
      <c r="E157" s="114"/>
      <c r="F157" s="169"/>
      <c r="G157" s="169"/>
      <c r="H157" s="169"/>
      <c r="I157" s="169"/>
      <c r="J157" s="169"/>
      <c r="K157" s="169"/>
      <c r="L157" s="169"/>
      <c r="M157" s="271"/>
      <c r="N157" s="169"/>
      <c r="O157" s="169"/>
      <c r="P157" s="169"/>
      <c r="Q157" s="169"/>
      <c r="R157" s="169"/>
      <c r="S157" s="169"/>
      <c r="T157" s="169"/>
      <c r="U157" s="169"/>
      <c r="V157" s="169"/>
      <c r="W157" s="169"/>
    </row>
    <row r="158" spans="1:23" ht="28.2" outlineLevel="1">
      <c r="A158" s="363"/>
      <c r="B158" s="365"/>
      <c r="C158" s="151">
        <f t="shared" si="2"/>
        <v>2025</v>
      </c>
      <c r="D158" s="269"/>
      <c r="E158" s="654">
        <v>2025</v>
      </c>
      <c r="F158" s="655"/>
      <c r="G158" s="655"/>
      <c r="H158" s="655"/>
      <c r="I158" s="655"/>
      <c r="J158" s="655"/>
      <c r="K158" s="655"/>
      <c r="L158" s="656"/>
      <c r="M158" s="272"/>
      <c r="N158" s="273"/>
      <c r="O158" s="273"/>
      <c r="P158" s="273"/>
      <c r="Q158" s="273"/>
      <c r="R158" s="273"/>
      <c r="S158" s="273"/>
      <c r="T158" s="273"/>
      <c r="U158" s="273"/>
      <c r="V158" s="273"/>
      <c r="W158" s="273"/>
    </row>
    <row r="159" spans="1:23" ht="14.4" hidden="1" customHeight="1" outlineLevel="2">
      <c r="A159" s="363"/>
      <c r="B159" s="365"/>
      <c r="C159" s="151" t="str">
        <f t="shared" si="2"/>
        <v>TWh</v>
      </c>
      <c r="D159" s="269"/>
      <c r="E159" s="662" t="s">
        <v>184</v>
      </c>
      <c r="F159" s="659" t="s">
        <v>185</v>
      </c>
      <c r="G159" s="659" t="s">
        <v>186</v>
      </c>
      <c r="H159" s="659" t="s">
        <v>187</v>
      </c>
      <c r="I159" s="657" t="s">
        <v>188</v>
      </c>
      <c r="J159" s="657" t="s">
        <v>189</v>
      </c>
      <c r="K159" s="657" t="s">
        <v>190</v>
      </c>
      <c r="L159" s="659" t="s">
        <v>191</v>
      </c>
      <c r="M159" s="659" t="s">
        <v>192</v>
      </c>
      <c r="N159" s="659" t="s">
        <v>193</v>
      </c>
      <c r="O159" s="660"/>
      <c r="P159" s="660"/>
      <c r="Q159" s="660"/>
      <c r="R159" s="660"/>
      <c r="S159" s="661"/>
      <c r="T159" s="657" t="s">
        <v>194</v>
      </c>
      <c r="U159" s="657" t="s">
        <v>195</v>
      </c>
      <c r="V159" s="657" t="s">
        <v>196</v>
      </c>
      <c r="W159" s="657" t="s">
        <v>144</v>
      </c>
    </row>
    <row r="160" spans="1:23" ht="36" hidden="1" customHeight="1" outlineLevel="2">
      <c r="A160" s="363"/>
      <c r="B160" s="365"/>
      <c r="C160" s="151" t="str">
        <f t="shared" si="2"/>
        <v/>
      </c>
      <c r="D160" s="270"/>
      <c r="E160" s="662"/>
      <c r="F160" s="659"/>
      <c r="G160" s="659"/>
      <c r="H160" s="659"/>
      <c r="I160" s="658"/>
      <c r="J160" s="658"/>
      <c r="K160" s="658"/>
      <c r="L160" s="659"/>
      <c r="M160" s="659"/>
      <c r="N160" s="153" t="s">
        <v>197</v>
      </c>
      <c r="O160" s="153" t="s">
        <v>24</v>
      </c>
      <c r="P160" s="153" t="s">
        <v>198</v>
      </c>
      <c r="Q160" s="153" t="s">
        <v>199</v>
      </c>
      <c r="R160" s="154" t="s">
        <v>200</v>
      </c>
      <c r="S160" s="153" t="s">
        <v>201</v>
      </c>
      <c r="T160" s="658"/>
      <c r="U160" s="658"/>
      <c r="V160" s="658"/>
      <c r="W160" s="658"/>
    </row>
    <row r="161" spans="1:23" ht="14.4" hidden="1" customHeight="1" outlineLevel="2">
      <c r="A161" s="363"/>
      <c r="B161" s="365"/>
      <c r="C161" s="151" t="str">
        <f t="shared" si="2"/>
        <v>Production d'énergie primaire</v>
      </c>
      <c r="D161" s="270"/>
      <c r="E161" s="155" t="s">
        <v>202</v>
      </c>
      <c r="F161" s="156">
        <v>0</v>
      </c>
      <c r="G161" s="156">
        <v>9.5366</v>
      </c>
      <c r="H161" s="156">
        <v>0</v>
      </c>
      <c r="I161" s="156">
        <v>0</v>
      </c>
      <c r="J161" s="156">
        <v>0.19771000000000002</v>
      </c>
      <c r="K161" s="156">
        <v>0</v>
      </c>
      <c r="L161" s="157">
        <v>1177.1449090909091</v>
      </c>
      <c r="M161" s="157">
        <v>152.07666205651037</v>
      </c>
      <c r="N161" s="165">
        <v>206.44291768249818</v>
      </c>
      <c r="O161" s="157">
        <v>36.349765833805463</v>
      </c>
      <c r="P161" s="156">
        <v>0.30138858167514276</v>
      </c>
      <c r="Q161" s="156">
        <v>0.13246010033665953</v>
      </c>
      <c r="R161" s="157">
        <v>59.566342760771668</v>
      </c>
      <c r="S161" s="157">
        <v>7.2536042324616119</v>
      </c>
      <c r="T161" s="156">
        <v>0</v>
      </c>
      <c r="U161" s="156">
        <v>0</v>
      </c>
      <c r="V161" s="156">
        <v>0</v>
      </c>
      <c r="W161" s="158">
        <v>1649.0023603389682</v>
      </c>
    </row>
    <row r="162" spans="1:23" ht="14.4" hidden="1" customHeight="1" outlineLevel="2">
      <c r="A162" s="363"/>
      <c r="B162" s="365"/>
      <c r="C162" s="151" t="str">
        <f t="shared" si="2"/>
        <v>Importations</v>
      </c>
      <c r="D162" s="270"/>
      <c r="E162" s="155" t="s">
        <v>203</v>
      </c>
      <c r="F162" s="156">
        <v>52.438729538481049</v>
      </c>
      <c r="G162" s="156">
        <v>488.19403339642076</v>
      </c>
      <c r="H162" s="156">
        <v>293.11075392514829</v>
      </c>
      <c r="I162" s="157">
        <v>0</v>
      </c>
      <c r="J162" s="157">
        <v>349.1795711852385</v>
      </c>
      <c r="K162" s="157">
        <v>0</v>
      </c>
      <c r="L162" s="156">
        <v>0</v>
      </c>
      <c r="M162" s="156">
        <v>0</v>
      </c>
      <c r="N162" s="156">
        <v>4.5685296205031127</v>
      </c>
      <c r="O162" s="156">
        <v>0</v>
      </c>
      <c r="P162" s="156">
        <v>6.2335135931701</v>
      </c>
      <c r="Q162" s="156">
        <v>13.614283367438249</v>
      </c>
      <c r="R162" s="156">
        <v>0</v>
      </c>
      <c r="S162" s="156">
        <v>0</v>
      </c>
      <c r="T162" s="156">
        <v>0</v>
      </c>
      <c r="U162" s="156">
        <v>0</v>
      </c>
      <c r="V162" s="156">
        <v>0</v>
      </c>
      <c r="W162" s="158">
        <v>1207.3394146264</v>
      </c>
    </row>
    <row r="163" spans="1:23" ht="14.4" hidden="1" customHeight="1" outlineLevel="2">
      <c r="A163" s="363"/>
      <c r="B163" s="365"/>
      <c r="C163" s="151" t="str">
        <f t="shared" si="2"/>
        <v>Exportations</v>
      </c>
      <c r="D163" s="270"/>
      <c r="E163" s="155" t="s">
        <v>204</v>
      </c>
      <c r="F163" s="156">
        <v>0</v>
      </c>
      <c r="G163" s="156">
        <v>0</v>
      </c>
      <c r="H163" s="156">
        <v>-1.1707212485853966</v>
      </c>
      <c r="I163" s="157">
        <v>0</v>
      </c>
      <c r="J163" s="157">
        <v>0</v>
      </c>
      <c r="K163" s="157">
        <v>0</v>
      </c>
      <c r="L163" s="156">
        <v>0</v>
      </c>
      <c r="M163" s="156">
        <v>0</v>
      </c>
      <c r="N163" s="156">
        <v>0</v>
      </c>
      <c r="O163" s="156">
        <v>0</v>
      </c>
      <c r="P163" s="156">
        <v>0</v>
      </c>
      <c r="Q163" s="156">
        <v>0</v>
      </c>
      <c r="R163" s="156">
        <v>0</v>
      </c>
      <c r="S163" s="156">
        <v>0</v>
      </c>
      <c r="T163" s="156">
        <v>-93.982393177763129</v>
      </c>
      <c r="U163" s="156">
        <v>0</v>
      </c>
      <c r="V163" s="156">
        <v>0</v>
      </c>
      <c r="W163" s="158">
        <v>-95.153114426348523</v>
      </c>
    </row>
    <row r="164" spans="1:23" ht="14.4" hidden="1" customHeight="1" outlineLevel="2">
      <c r="A164" s="363"/>
      <c r="B164" s="365"/>
      <c r="C164" s="151" t="str">
        <f t="shared" si="2"/>
        <v>Soutes maritimes internationales</v>
      </c>
      <c r="D164" s="270"/>
      <c r="E164" s="155" t="s">
        <v>205</v>
      </c>
      <c r="F164" s="156">
        <v>0</v>
      </c>
      <c r="G164" s="156">
        <v>0</v>
      </c>
      <c r="H164" s="156">
        <v>-14.843734665787972</v>
      </c>
      <c r="I164" s="156">
        <v>0</v>
      </c>
      <c r="J164" s="156">
        <v>-2.5660410578447768</v>
      </c>
      <c r="K164" s="156">
        <v>0</v>
      </c>
      <c r="L164" s="156">
        <v>0</v>
      </c>
      <c r="M164" s="156">
        <v>0</v>
      </c>
      <c r="N164" s="156">
        <v>0</v>
      </c>
      <c r="O164" s="156">
        <v>0</v>
      </c>
      <c r="P164" s="156">
        <v>-0.44549323920916267</v>
      </c>
      <c r="Q164" s="156">
        <v>-0.26729594352549757</v>
      </c>
      <c r="R164" s="156">
        <v>0</v>
      </c>
      <c r="S164" s="156">
        <v>0</v>
      </c>
      <c r="T164" s="156">
        <v>0</v>
      </c>
      <c r="U164" s="156">
        <v>0</v>
      </c>
      <c r="V164" s="156">
        <v>0</v>
      </c>
      <c r="W164" s="158">
        <v>-18.122564906367408</v>
      </c>
    </row>
    <row r="165" spans="1:23" ht="14.4" hidden="1" customHeight="1" outlineLevel="2">
      <c r="A165" s="363"/>
      <c r="B165" s="365"/>
      <c r="C165" s="151" t="str">
        <f t="shared" si="2"/>
        <v>Soutes aériennes internationales</v>
      </c>
      <c r="D165" s="270"/>
      <c r="E165" s="155" t="s">
        <v>206</v>
      </c>
      <c r="F165" s="156">
        <v>0</v>
      </c>
      <c r="G165" s="156">
        <v>0</v>
      </c>
      <c r="H165" s="156">
        <v>-85.999717478523991</v>
      </c>
      <c r="I165" s="156">
        <v>0</v>
      </c>
      <c r="J165" s="156">
        <v>0</v>
      </c>
      <c r="K165" s="156">
        <v>0</v>
      </c>
      <c r="L165" s="156">
        <v>0</v>
      </c>
      <c r="M165" s="156">
        <v>0</v>
      </c>
      <c r="N165" s="156">
        <v>0</v>
      </c>
      <c r="O165" s="156">
        <v>0</v>
      </c>
      <c r="P165" s="156">
        <v>-1.5591130158471349</v>
      </c>
      <c r="Q165" s="156">
        <v>0</v>
      </c>
      <c r="R165" s="156">
        <v>0</v>
      </c>
      <c r="S165" s="156">
        <v>0</v>
      </c>
      <c r="T165" s="156">
        <v>0</v>
      </c>
      <c r="U165" s="156">
        <v>0</v>
      </c>
      <c r="V165" s="156">
        <v>0</v>
      </c>
      <c r="W165" s="158">
        <v>-87.558830494371122</v>
      </c>
    </row>
    <row r="166" spans="1:23" ht="14.4" hidden="1" customHeight="1" outlineLevel="2">
      <c r="A166" s="363"/>
      <c r="B166" s="365"/>
      <c r="C166" s="151" t="str">
        <f t="shared" si="2"/>
        <v>Variations de stocks (+ = déstockage, - = stockage)</v>
      </c>
      <c r="D166" s="270"/>
      <c r="E166" s="155" t="s">
        <v>207</v>
      </c>
      <c r="F166" s="156">
        <v>0</v>
      </c>
      <c r="G166" s="156">
        <v>0</v>
      </c>
      <c r="H166" s="156">
        <v>0</v>
      </c>
      <c r="I166" s="157">
        <v>0</v>
      </c>
      <c r="J166" s="157">
        <v>0</v>
      </c>
      <c r="K166" s="157">
        <v>0</v>
      </c>
      <c r="L166" s="156">
        <v>0</v>
      </c>
      <c r="M166" s="156">
        <v>0</v>
      </c>
      <c r="N166" s="156">
        <v>0</v>
      </c>
      <c r="O166" s="156">
        <v>0</v>
      </c>
      <c r="P166" s="156">
        <v>0</v>
      </c>
      <c r="Q166" s="156">
        <v>0</v>
      </c>
      <c r="R166" s="156">
        <v>0</v>
      </c>
      <c r="S166" s="156">
        <v>0</v>
      </c>
      <c r="T166" s="156">
        <v>0</v>
      </c>
      <c r="U166" s="156">
        <v>0</v>
      </c>
      <c r="V166" s="156">
        <v>0</v>
      </c>
      <c r="W166" s="158">
        <v>0</v>
      </c>
    </row>
    <row r="167" spans="1:23" ht="14.4" hidden="1" customHeight="1" outlineLevel="2">
      <c r="A167" s="363"/>
      <c r="B167" s="365"/>
      <c r="C167" s="151" t="str">
        <f t="shared" si="2"/>
        <v>Total approvisionnement / consommation primaire</v>
      </c>
      <c r="D167" s="270"/>
      <c r="E167" s="159" t="s">
        <v>208</v>
      </c>
      <c r="F167" s="160">
        <v>52.438729538481049</v>
      </c>
      <c r="G167" s="160">
        <v>497.73063339642079</v>
      </c>
      <c r="H167" s="160">
        <v>191.09658053225093</v>
      </c>
      <c r="I167" s="160">
        <v>0</v>
      </c>
      <c r="J167" s="160">
        <v>346.81124012739372</v>
      </c>
      <c r="K167" s="160">
        <v>0</v>
      </c>
      <c r="L167" s="160">
        <v>1177.1449090909091</v>
      </c>
      <c r="M167" s="160">
        <v>152.07666205651037</v>
      </c>
      <c r="N167" s="160">
        <v>211.01144730300129</v>
      </c>
      <c r="O167" s="160">
        <v>36.349765833805463</v>
      </c>
      <c r="P167" s="160">
        <v>4.5302959197889443</v>
      </c>
      <c r="Q167" s="160">
        <v>13.479447524249411</v>
      </c>
      <c r="R167" s="160">
        <v>59.566342760771668</v>
      </c>
      <c r="S167" s="160">
        <v>7.2536042324616119</v>
      </c>
      <c r="T167" s="160">
        <v>-93.982393177763129</v>
      </c>
      <c r="U167" s="160">
        <v>0</v>
      </c>
      <c r="V167" s="160">
        <v>0</v>
      </c>
      <c r="W167" s="160">
        <v>2655.5072651382811</v>
      </c>
    </row>
    <row r="168" spans="1:23" ht="14.4" hidden="1" customHeight="1" outlineLevel="2">
      <c r="A168" s="363"/>
      <c r="B168" s="365"/>
      <c r="C168" s="151">
        <f t="shared" si="2"/>
        <v>0</v>
      </c>
      <c r="D168" s="270"/>
      <c r="E168" s="161"/>
      <c r="F168" s="162">
        <v>0</v>
      </c>
      <c r="G168" s="162">
        <v>0</v>
      </c>
      <c r="H168" s="162">
        <v>0</v>
      </c>
      <c r="I168" s="162"/>
      <c r="J168" s="162"/>
      <c r="K168" s="162"/>
      <c r="L168" s="162">
        <v>0</v>
      </c>
      <c r="M168" s="162">
        <v>0</v>
      </c>
      <c r="N168" s="162">
        <v>0</v>
      </c>
      <c r="O168" s="162">
        <v>0</v>
      </c>
      <c r="P168" s="162">
        <v>0</v>
      </c>
      <c r="Q168" s="162">
        <v>0</v>
      </c>
      <c r="R168" s="162">
        <v>0</v>
      </c>
      <c r="S168" s="162">
        <v>0</v>
      </c>
      <c r="T168" s="162">
        <v>0</v>
      </c>
      <c r="U168" s="162">
        <v>0</v>
      </c>
      <c r="V168" s="162">
        <v>0</v>
      </c>
      <c r="W168" s="162">
        <v>0</v>
      </c>
    </row>
    <row r="169" spans="1:23" ht="14.4" hidden="1" customHeight="1" outlineLevel="2">
      <c r="A169" s="363"/>
      <c r="B169" s="365"/>
      <c r="C169" s="151" t="str">
        <f t="shared" si="2"/>
        <v>Écart statistique</v>
      </c>
      <c r="D169" s="270"/>
      <c r="E169" s="163" t="s">
        <v>209</v>
      </c>
      <c r="F169" s="156">
        <v>0</v>
      </c>
      <c r="G169" s="156">
        <v>0</v>
      </c>
      <c r="H169" s="156">
        <v>0</v>
      </c>
      <c r="I169" s="156">
        <v>0</v>
      </c>
      <c r="J169" s="156">
        <v>0</v>
      </c>
      <c r="K169" s="156">
        <v>0</v>
      </c>
      <c r="L169" s="156">
        <v>0</v>
      </c>
      <c r="M169" s="156">
        <v>0</v>
      </c>
      <c r="N169" s="156">
        <v>0</v>
      </c>
      <c r="O169" s="156">
        <v>0</v>
      </c>
      <c r="P169" s="156">
        <v>0</v>
      </c>
      <c r="Q169" s="156">
        <v>0</v>
      </c>
      <c r="R169" s="156">
        <v>0</v>
      </c>
      <c r="S169" s="156">
        <v>0</v>
      </c>
      <c r="T169" s="156">
        <v>0</v>
      </c>
      <c r="U169" s="156">
        <v>0</v>
      </c>
      <c r="V169" s="156">
        <v>0</v>
      </c>
      <c r="W169" s="164">
        <v>0</v>
      </c>
    </row>
    <row r="170" spans="1:23" ht="14.4" hidden="1" customHeight="1" outlineLevel="2">
      <c r="A170" s="363"/>
      <c r="B170" s="365"/>
      <c r="C170" s="151" t="str">
        <f t="shared" si="2"/>
        <v>Production d'électricité</v>
      </c>
      <c r="D170" s="270"/>
      <c r="E170" s="163" t="s">
        <v>13</v>
      </c>
      <c r="F170" s="156">
        <v>3.1617616762651406</v>
      </c>
      <c r="G170" s="156">
        <v>0</v>
      </c>
      <c r="H170" s="156">
        <v>9.4791143914306666</v>
      </c>
      <c r="I170" s="156">
        <v>0</v>
      </c>
      <c r="J170" s="156">
        <v>50.716981132075468</v>
      </c>
      <c r="K170" s="156">
        <v>0</v>
      </c>
      <c r="L170" s="156">
        <v>1177.1449090909091</v>
      </c>
      <c r="M170" s="156">
        <v>152.07666205651037</v>
      </c>
      <c r="N170" s="156">
        <v>28.880573723138571</v>
      </c>
      <c r="O170" s="156">
        <v>8.9665593719426635</v>
      </c>
      <c r="P170" s="156">
        <v>2.59749502008244</v>
      </c>
      <c r="Q170" s="156">
        <v>5.987996118040285</v>
      </c>
      <c r="R170" s="156">
        <v>0</v>
      </c>
      <c r="S170" s="156">
        <v>1.1147239013719403</v>
      </c>
      <c r="T170" s="156">
        <v>-589.34208200897046</v>
      </c>
      <c r="U170" s="156">
        <v>0</v>
      </c>
      <c r="V170" s="156">
        <v>0</v>
      </c>
      <c r="W170" s="164">
        <v>850.7846944727961</v>
      </c>
    </row>
    <row r="171" spans="1:23" ht="14.4" hidden="1" customHeight="1" outlineLevel="2">
      <c r="A171" s="363"/>
      <c r="B171" s="365"/>
      <c r="C171" s="151" t="str">
        <f t="shared" si="2"/>
        <v>Production de chaleur</v>
      </c>
      <c r="D171" s="270"/>
      <c r="E171" s="163" t="s">
        <v>210</v>
      </c>
      <c r="F171" s="156">
        <v>9.6590909090909102E-2</v>
      </c>
      <c r="G171" s="156">
        <v>0</v>
      </c>
      <c r="H171" s="156">
        <v>0</v>
      </c>
      <c r="I171" s="156">
        <v>0</v>
      </c>
      <c r="J171" s="156">
        <v>16.882402022646616</v>
      </c>
      <c r="K171" s="156">
        <v>0</v>
      </c>
      <c r="L171" s="156">
        <v>0</v>
      </c>
      <c r="M171" s="156">
        <v>0</v>
      </c>
      <c r="N171" s="156">
        <v>16.349823686374378</v>
      </c>
      <c r="O171" s="156">
        <v>14.788713107555404</v>
      </c>
      <c r="P171" s="156">
        <v>0</v>
      </c>
      <c r="Q171" s="156">
        <v>2.8986931474112105</v>
      </c>
      <c r="R171" s="156">
        <v>0</v>
      </c>
      <c r="S171" s="156">
        <v>2.7859124115542273</v>
      </c>
      <c r="T171" s="156">
        <v>0</v>
      </c>
      <c r="U171" s="156">
        <v>-48.238323753183998</v>
      </c>
      <c r="V171" s="156">
        <v>0</v>
      </c>
      <c r="W171" s="164">
        <v>5.5638115314487457</v>
      </c>
    </row>
    <row r="172" spans="1:23" ht="14.4" hidden="1" customHeight="1" outlineLevel="2">
      <c r="A172" s="363"/>
      <c r="B172" s="365"/>
      <c r="C172" s="151" t="str">
        <f t="shared" si="2"/>
        <v>Production de gaz renouvelable</v>
      </c>
      <c r="D172" s="270"/>
      <c r="E172" s="163" t="s">
        <v>211</v>
      </c>
      <c r="F172" s="156">
        <v>0</v>
      </c>
      <c r="G172" s="156">
        <v>0</v>
      </c>
      <c r="H172" s="156">
        <v>0</v>
      </c>
      <c r="I172" s="156">
        <v>0</v>
      </c>
      <c r="J172" s="156">
        <v>0</v>
      </c>
      <c r="K172" s="156">
        <v>0</v>
      </c>
      <c r="L172" s="156">
        <v>0</v>
      </c>
      <c r="M172" s="156">
        <v>0</v>
      </c>
      <c r="N172" s="156">
        <v>15.128991601867646</v>
      </c>
      <c r="O172" s="156">
        <v>3.7065698605661792</v>
      </c>
      <c r="P172" s="156">
        <v>0</v>
      </c>
      <c r="Q172" s="156">
        <v>-9.4177807312169133</v>
      </c>
      <c r="R172" s="156">
        <v>0</v>
      </c>
      <c r="S172" s="156">
        <v>0</v>
      </c>
      <c r="T172" s="156">
        <v>0</v>
      </c>
      <c r="U172" s="156">
        <v>0</v>
      </c>
      <c r="V172" s="156">
        <v>0</v>
      </c>
      <c r="W172" s="164">
        <v>9.4177807312169133</v>
      </c>
    </row>
    <row r="173" spans="1:23" ht="14.4" hidden="1" customHeight="1" outlineLevel="2">
      <c r="A173" s="363"/>
      <c r="B173" s="365"/>
      <c r="C173" s="151" t="str">
        <f t="shared" si="2"/>
        <v>Production de gaz de synthèse</v>
      </c>
      <c r="D173" s="270"/>
      <c r="E173" s="163" t="s">
        <v>212</v>
      </c>
      <c r="F173" s="156">
        <v>0</v>
      </c>
      <c r="G173" s="156">
        <v>0</v>
      </c>
      <c r="H173" s="156">
        <v>0</v>
      </c>
      <c r="I173" s="156">
        <v>0</v>
      </c>
      <c r="J173" s="156">
        <v>0</v>
      </c>
      <c r="K173" s="156">
        <v>0</v>
      </c>
      <c r="L173" s="156">
        <v>0</v>
      </c>
      <c r="M173" s="156">
        <v>0</v>
      </c>
      <c r="N173" s="156">
        <v>0</v>
      </c>
      <c r="O173" s="156">
        <v>0</v>
      </c>
      <c r="P173" s="156">
        <v>0</v>
      </c>
      <c r="Q173" s="156">
        <v>0</v>
      </c>
      <c r="R173" s="156">
        <v>0</v>
      </c>
      <c r="S173" s="156">
        <v>0</v>
      </c>
      <c r="T173" s="156">
        <v>0</v>
      </c>
      <c r="U173" s="156">
        <v>0</v>
      </c>
      <c r="V173" s="156">
        <v>0</v>
      </c>
      <c r="W173" s="164">
        <v>0</v>
      </c>
    </row>
    <row r="174" spans="1:23" ht="14.4" hidden="1" customHeight="1" outlineLevel="2">
      <c r="A174" s="363"/>
      <c r="B174" s="365"/>
      <c r="C174" s="151" t="str">
        <f t="shared" si="2"/>
        <v>Raffinage de pétrole</v>
      </c>
      <c r="D174" s="270"/>
      <c r="E174" s="163" t="s">
        <v>213</v>
      </c>
      <c r="F174" s="156">
        <v>0</v>
      </c>
      <c r="G174" s="156">
        <v>515.87911896222033</v>
      </c>
      <c r="H174" s="156">
        <v>-510.74764195802106</v>
      </c>
      <c r="I174" s="156">
        <v>0</v>
      </c>
      <c r="J174" s="156">
        <v>0</v>
      </c>
      <c r="K174" s="156">
        <v>0</v>
      </c>
      <c r="L174" s="156">
        <v>0</v>
      </c>
      <c r="M174" s="156">
        <v>0</v>
      </c>
      <c r="N174" s="156">
        <v>0</v>
      </c>
      <c r="O174" s="156">
        <v>0</v>
      </c>
      <c r="P174" s="156">
        <v>0</v>
      </c>
      <c r="Q174" s="156">
        <v>0</v>
      </c>
      <c r="R174" s="156">
        <v>0</v>
      </c>
      <c r="S174" s="156">
        <v>0</v>
      </c>
      <c r="T174" s="156">
        <v>0</v>
      </c>
      <c r="U174" s="156">
        <v>0</v>
      </c>
      <c r="V174" s="156">
        <v>0</v>
      </c>
      <c r="W174" s="164">
        <v>5.1314770041992359</v>
      </c>
    </row>
    <row r="175" spans="1:23" ht="14.4" hidden="1" customHeight="1" outlineLevel="2">
      <c r="A175" s="363"/>
      <c r="B175" s="365"/>
      <c r="C175" s="151" t="str">
        <f t="shared" si="2"/>
        <v>Production de biocarburants</v>
      </c>
      <c r="D175" s="270"/>
      <c r="E175" s="163" t="s">
        <v>214</v>
      </c>
      <c r="F175" s="156">
        <v>0</v>
      </c>
      <c r="G175" s="156">
        <v>0</v>
      </c>
      <c r="H175" s="156">
        <v>0</v>
      </c>
      <c r="I175" s="156">
        <v>0</v>
      </c>
      <c r="J175" s="156">
        <v>0</v>
      </c>
      <c r="K175" s="156">
        <v>0</v>
      </c>
      <c r="L175" s="156">
        <v>0</v>
      </c>
      <c r="M175" s="156">
        <v>0</v>
      </c>
      <c r="N175" s="156">
        <v>64.838029072916072</v>
      </c>
      <c r="O175" s="156">
        <v>7.2727272727272725</v>
      </c>
      <c r="P175" s="156">
        <v>-39.660915990103845</v>
      </c>
      <c r="Q175" s="156">
        <v>0</v>
      </c>
      <c r="R175" s="156">
        <v>0</v>
      </c>
      <c r="S175" s="156">
        <v>0</v>
      </c>
      <c r="T175" s="156">
        <v>0</v>
      </c>
      <c r="U175" s="156">
        <v>0</v>
      </c>
      <c r="V175" s="156">
        <v>0</v>
      </c>
      <c r="W175" s="164">
        <v>32.449840355539493</v>
      </c>
    </row>
    <row r="176" spans="1:23" ht="14.4" hidden="1" customHeight="1" outlineLevel="2">
      <c r="A176" s="363"/>
      <c r="B176" s="365"/>
      <c r="C176" s="151" t="str">
        <f t="shared" si="2"/>
        <v>Production d'e-fuels</v>
      </c>
      <c r="D176" s="270"/>
      <c r="E176" s="163" t="s">
        <v>215</v>
      </c>
      <c r="F176" s="156">
        <v>0</v>
      </c>
      <c r="G176" s="156">
        <v>0</v>
      </c>
      <c r="H176" s="156">
        <v>0</v>
      </c>
      <c r="I176" s="156">
        <v>0</v>
      </c>
      <c r="J176" s="156">
        <v>0</v>
      </c>
      <c r="K176" s="156">
        <v>0</v>
      </c>
      <c r="L176" s="156">
        <v>0</v>
      </c>
      <c r="M176" s="156">
        <v>0</v>
      </c>
      <c r="N176" s="156">
        <v>0</v>
      </c>
      <c r="O176" s="156">
        <v>0</v>
      </c>
      <c r="P176" s="156">
        <v>0</v>
      </c>
      <c r="Q176" s="156">
        <v>0</v>
      </c>
      <c r="R176" s="156">
        <v>0</v>
      </c>
      <c r="S176" s="156">
        <v>0</v>
      </c>
      <c r="T176" s="156">
        <v>0</v>
      </c>
      <c r="U176" s="156">
        <v>0</v>
      </c>
      <c r="V176" s="156">
        <v>0</v>
      </c>
      <c r="W176" s="164">
        <v>0</v>
      </c>
    </row>
    <row r="177" spans="1:23" ht="14.4" hidden="1" customHeight="1" outlineLevel="2">
      <c r="A177" s="363"/>
      <c r="B177" s="365"/>
      <c r="C177" s="151" t="str">
        <f t="shared" si="2"/>
        <v>Production d'hydrogène</v>
      </c>
      <c r="D177" s="270"/>
      <c r="E177" s="163" t="s">
        <v>216</v>
      </c>
      <c r="F177" s="156">
        <v>0</v>
      </c>
      <c r="G177" s="156">
        <v>0</v>
      </c>
      <c r="H177" s="156">
        <v>0</v>
      </c>
      <c r="I177" s="156">
        <v>0</v>
      </c>
      <c r="J177" s="156">
        <v>1.8119554502739992E-2</v>
      </c>
      <c r="K177" s="156">
        <v>0</v>
      </c>
      <c r="L177" s="156">
        <v>0</v>
      </c>
      <c r="M177" s="156">
        <v>0</v>
      </c>
      <c r="N177" s="156">
        <v>0</v>
      </c>
      <c r="O177" s="156">
        <v>3.8123818416012356E-4</v>
      </c>
      <c r="P177" s="156">
        <v>0</v>
      </c>
      <c r="Q177" s="156">
        <v>9.4235470526618742E-4</v>
      </c>
      <c r="R177" s="156">
        <v>0</v>
      </c>
      <c r="S177" s="156">
        <v>0</v>
      </c>
      <c r="T177" s="156">
        <v>2.0117645717988058E-2</v>
      </c>
      <c r="U177" s="156">
        <v>0</v>
      </c>
      <c r="V177" s="156">
        <v>-2.668667289120865E-2</v>
      </c>
      <c r="W177" s="164">
        <v>1.2874120218945712E-2</v>
      </c>
    </row>
    <row r="178" spans="1:23" ht="14.4" hidden="1" customHeight="1" outlineLevel="2">
      <c r="A178" s="363"/>
      <c r="B178" s="365"/>
      <c r="C178" s="151" t="str">
        <f t="shared" si="2"/>
        <v>Autres transformations, transferts</v>
      </c>
      <c r="D178" s="270"/>
      <c r="E178" s="163" t="s">
        <v>217</v>
      </c>
      <c r="F178" s="156">
        <v>29.313597656249996</v>
      </c>
      <c r="G178" s="156">
        <v>-18.148485565799497</v>
      </c>
      <c r="H178" s="156">
        <v>23.817919592023259</v>
      </c>
      <c r="I178" s="156">
        <v>0</v>
      </c>
      <c r="J178" s="156">
        <v>0</v>
      </c>
      <c r="K178" s="156">
        <v>0</v>
      </c>
      <c r="L178" s="156">
        <v>0</v>
      </c>
      <c r="M178" s="156">
        <v>0</v>
      </c>
      <c r="N178" s="156">
        <v>0</v>
      </c>
      <c r="O178" s="156">
        <v>0</v>
      </c>
      <c r="P178" s="156">
        <v>0</v>
      </c>
      <c r="Q178" s="156">
        <v>0</v>
      </c>
      <c r="R178" s="156">
        <v>0</v>
      </c>
      <c r="S178" s="156">
        <v>0</v>
      </c>
      <c r="T178" s="156">
        <v>0</v>
      </c>
      <c r="U178" s="156">
        <v>0</v>
      </c>
      <c r="V178" s="156">
        <v>0</v>
      </c>
      <c r="W178" s="164">
        <v>34.983031682473758</v>
      </c>
    </row>
    <row r="179" spans="1:23" ht="14.4" hidden="1" customHeight="1" outlineLevel="2">
      <c r="A179" s="363"/>
      <c r="B179" s="365"/>
      <c r="C179" s="151" t="str">
        <f t="shared" si="2"/>
        <v>Usages internes de la branche énergie</v>
      </c>
      <c r="D179" s="270"/>
      <c r="E179" s="163" t="s">
        <v>218</v>
      </c>
      <c r="F179" s="156">
        <v>11.399732421875001</v>
      </c>
      <c r="G179" s="156">
        <v>0</v>
      </c>
      <c r="H179" s="156">
        <v>17.791753136767859</v>
      </c>
      <c r="I179" s="156">
        <v>0</v>
      </c>
      <c r="J179" s="156">
        <v>4.8094519437710153</v>
      </c>
      <c r="K179" s="156">
        <v>0</v>
      </c>
      <c r="L179" s="156">
        <v>0</v>
      </c>
      <c r="M179" s="156">
        <v>0</v>
      </c>
      <c r="N179" s="156">
        <v>0</v>
      </c>
      <c r="O179" s="156">
        <v>0</v>
      </c>
      <c r="P179" s="156">
        <v>0</v>
      </c>
      <c r="Q179" s="156">
        <v>0.25012809604556657</v>
      </c>
      <c r="R179" s="156">
        <v>0</v>
      </c>
      <c r="S179" s="156">
        <v>0</v>
      </c>
      <c r="T179" s="156">
        <v>36.923583713627671</v>
      </c>
      <c r="U179" s="156">
        <v>0</v>
      </c>
      <c r="V179" s="156">
        <v>0</v>
      </c>
      <c r="W179" s="164">
        <v>71.174649312087098</v>
      </c>
    </row>
    <row r="180" spans="1:23" ht="14.4" hidden="1" customHeight="1" outlineLevel="2">
      <c r="A180" s="363"/>
      <c r="B180" s="365"/>
      <c r="C180" s="151" t="str">
        <f t="shared" si="2"/>
        <v>Pertes de transport et de distribution</v>
      </c>
      <c r="D180" s="270"/>
      <c r="E180" s="163" t="s">
        <v>219</v>
      </c>
      <c r="F180" s="156">
        <v>0</v>
      </c>
      <c r="G180" s="156">
        <v>0</v>
      </c>
      <c r="H180" s="156">
        <v>0</v>
      </c>
      <c r="I180" s="156">
        <v>0</v>
      </c>
      <c r="J180" s="156">
        <v>3.1901132624012183</v>
      </c>
      <c r="K180" s="156">
        <v>0</v>
      </c>
      <c r="L180" s="156">
        <v>0</v>
      </c>
      <c r="M180" s="156">
        <v>0</v>
      </c>
      <c r="N180" s="156">
        <v>0</v>
      </c>
      <c r="O180" s="156">
        <v>0</v>
      </c>
      <c r="P180" s="156">
        <v>0</v>
      </c>
      <c r="Q180" s="156">
        <v>0.16591016311693882</v>
      </c>
      <c r="R180" s="156">
        <v>0</v>
      </c>
      <c r="S180" s="156">
        <v>0</v>
      </c>
      <c r="T180" s="156">
        <v>37.943552794949959</v>
      </c>
      <c r="U180" s="156">
        <v>3.7421628092821462</v>
      </c>
      <c r="V180" s="156">
        <v>0</v>
      </c>
      <c r="W180" s="164">
        <v>45.041739029750268</v>
      </c>
    </row>
    <row r="181" spans="1:23" ht="14.4" hidden="1" customHeight="1" outlineLevel="2">
      <c r="A181" s="363"/>
      <c r="B181" s="365"/>
      <c r="C181" s="151" t="str">
        <f t="shared" si="2"/>
        <v>Consommation nette de la branche énergie</v>
      </c>
      <c r="D181" s="270"/>
      <c r="E181" s="159" t="s">
        <v>220</v>
      </c>
      <c r="F181" s="160">
        <v>43.971682663481047</v>
      </c>
      <c r="G181" s="160">
        <v>497.73063339642079</v>
      </c>
      <c r="H181" s="160">
        <v>-459.6588548377992</v>
      </c>
      <c r="I181" s="160">
        <v>0</v>
      </c>
      <c r="J181" s="160">
        <v>75.617067915397058</v>
      </c>
      <c r="K181" s="160">
        <v>0</v>
      </c>
      <c r="L181" s="160">
        <v>1177.1449090909091</v>
      </c>
      <c r="M181" s="160">
        <v>152.07666205651037</v>
      </c>
      <c r="N181" s="160">
        <v>125.19741808429667</v>
      </c>
      <c r="O181" s="160">
        <v>34.734950850975679</v>
      </c>
      <c r="P181" s="160">
        <v>-37.063420970021404</v>
      </c>
      <c r="Q181" s="160">
        <v>-0.11411085189764572</v>
      </c>
      <c r="R181" s="160">
        <v>0</v>
      </c>
      <c r="S181" s="160">
        <v>3.9006363129261681</v>
      </c>
      <c r="T181" s="160">
        <v>-514.45482785467493</v>
      </c>
      <c r="U181" s="160">
        <v>-44.496160943901856</v>
      </c>
      <c r="V181" s="160">
        <v>-2.668667289120865E-2</v>
      </c>
      <c r="W181" s="160">
        <v>1054.5598982397307</v>
      </c>
    </row>
    <row r="182" spans="1:23" ht="14.4" hidden="1" customHeight="1" outlineLevel="2">
      <c r="A182" s="363"/>
      <c r="B182" s="365"/>
      <c r="C182" s="151" t="str">
        <f t="shared" si="2"/>
        <v/>
      </c>
      <c r="D182" s="270"/>
      <c r="E182" s="161"/>
      <c r="F182" s="162"/>
      <c r="G182" s="162"/>
      <c r="H182" s="162"/>
      <c r="I182" s="162"/>
      <c r="J182" s="162"/>
      <c r="K182" s="162"/>
      <c r="L182" s="162"/>
      <c r="M182" s="162"/>
      <c r="N182" s="162"/>
      <c r="O182" s="162"/>
      <c r="P182" s="162"/>
      <c r="Q182" s="162"/>
      <c r="R182" s="162"/>
      <c r="S182" s="162"/>
      <c r="T182" s="162"/>
      <c r="U182" s="162"/>
      <c r="V182" s="162"/>
      <c r="W182" s="162"/>
    </row>
    <row r="183" spans="1:23" ht="14.4" hidden="1" customHeight="1" outlineLevel="2">
      <c r="A183" s="363"/>
      <c r="B183" s="365"/>
      <c r="C183" s="151" t="str">
        <f t="shared" si="2"/>
        <v>Industrie</v>
      </c>
      <c r="D183" s="270"/>
      <c r="E183" s="163" t="s">
        <v>0</v>
      </c>
      <c r="F183" s="156">
        <v>8.4670468750000012</v>
      </c>
      <c r="G183" s="156">
        <v>0</v>
      </c>
      <c r="H183" s="156">
        <v>26.468082154847462</v>
      </c>
      <c r="I183" s="156">
        <v>0</v>
      </c>
      <c r="J183" s="156">
        <v>99.096396453136435</v>
      </c>
      <c r="K183" s="156">
        <v>0</v>
      </c>
      <c r="L183" s="156">
        <v>0</v>
      </c>
      <c r="M183" s="156">
        <v>0</v>
      </c>
      <c r="N183" s="156">
        <v>17.372978979758013</v>
      </c>
      <c r="O183" s="156">
        <v>1.5894119577243171</v>
      </c>
      <c r="P183" s="156">
        <v>1.0500598522239739</v>
      </c>
      <c r="Q183" s="156">
        <v>5.1725485374318003</v>
      </c>
      <c r="R183" s="156">
        <v>4.9213424324989318E-4</v>
      </c>
      <c r="S183" s="156">
        <v>3.8289980908217579E-4</v>
      </c>
      <c r="T183" s="156">
        <v>107.2446105671894</v>
      </c>
      <c r="U183" s="156">
        <v>20.286263463714917</v>
      </c>
      <c r="V183" s="156">
        <v>2.078010368347168E-2</v>
      </c>
      <c r="W183" s="164">
        <v>286.76905397876214</v>
      </c>
    </row>
    <row r="184" spans="1:23" ht="14.4" hidden="1" customHeight="1" outlineLevel="2">
      <c r="A184" s="363"/>
      <c r="B184" s="365"/>
      <c r="C184" s="151" t="str">
        <f t="shared" si="2"/>
        <v>Transport</v>
      </c>
      <c r="D184" s="270"/>
      <c r="E184" s="163" t="s">
        <v>1</v>
      </c>
      <c r="F184" s="156">
        <v>0</v>
      </c>
      <c r="G184" s="156">
        <v>0</v>
      </c>
      <c r="H184" s="156">
        <v>428.76938953623858</v>
      </c>
      <c r="I184" s="156">
        <v>0</v>
      </c>
      <c r="J184" s="156">
        <v>4.3719195877940171</v>
      </c>
      <c r="K184" s="156">
        <v>0</v>
      </c>
      <c r="L184" s="156">
        <v>0</v>
      </c>
      <c r="M184" s="156">
        <v>0</v>
      </c>
      <c r="N184" s="156">
        <v>0</v>
      </c>
      <c r="O184" s="156">
        <v>0</v>
      </c>
      <c r="P184" s="156">
        <v>38.682922363286558</v>
      </c>
      <c r="Q184" s="156">
        <v>0.22737308436474538</v>
      </c>
      <c r="R184" s="156">
        <v>0</v>
      </c>
      <c r="S184" s="156">
        <v>0</v>
      </c>
      <c r="T184" s="156">
        <v>15.280990031280117</v>
      </c>
      <c r="U184" s="156">
        <v>0</v>
      </c>
      <c r="V184" s="156">
        <v>5.9065692077369687E-3</v>
      </c>
      <c r="W184" s="164">
        <v>487.33850117217173</v>
      </c>
    </row>
    <row r="185" spans="1:23" ht="14.4" hidden="1" customHeight="1" outlineLevel="2">
      <c r="A185" s="363"/>
      <c r="B185" s="365"/>
      <c r="C185" s="151" t="str">
        <f t="shared" si="2"/>
        <v>Résidentiel</v>
      </c>
      <c r="D185" s="270"/>
      <c r="E185" s="163" t="s">
        <v>221</v>
      </c>
      <c r="F185" s="156">
        <v>0</v>
      </c>
      <c r="G185" s="156">
        <v>0</v>
      </c>
      <c r="H185" s="156">
        <v>30.255593105903191</v>
      </c>
      <c r="I185" s="156">
        <v>0</v>
      </c>
      <c r="J185" s="156">
        <v>96.9768321956401</v>
      </c>
      <c r="K185" s="156" t="s">
        <v>227</v>
      </c>
      <c r="L185" s="156">
        <v>0</v>
      </c>
      <c r="M185" s="156">
        <v>0</v>
      </c>
      <c r="N185" s="156">
        <v>67.540467929832246</v>
      </c>
      <c r="O185" s="156">
        <v>0</v>
      </c>
      <c r="P185" s="156">
        <v>0</v>
      </c>
      <c r="Q185" s="156">
        <v>5.0435331678575039</v>
      </c>
      <c r="R185" s="156">
        <v>45.976399988413121</v>
      </c>
      <c r="S185" s="156">
        <v>1.9613989945398065</v>
      </c>
      <c r="T185" s="156">
        <v>156.09888835388318</v>
      </c>
      <c r="U185" s="156">
        <v>14.54940755663384</v>
      </c>
      <c r="V185" s="156">
        <v>0</v>
      </c>
      <c r="W185" s="164">
        <v>418.402521292703</v>
      </c>
    </row>
    <row r="186" spans="1:23" ht="14.4" hidden="1" customHeight="1" outlineLevel="2">
      <c r="A186" s="363"/>
      <c r="B186" s="365"/>
      <c r="C186" s="151" t="str">
        <f t="shared" si="2"/>
        <v>Tertiaire</v>
      </c>
      <c r="D186" s="270"/>
      <c r="E186" s="163" t="s">
        <v>222</v>
      </c>
      <c r="F186" s="156">
        <v>0</v>
      </c>
      <c r="G186" s="156">
        <v>0</v>
      </c>
      <c r="H186" s="156">
        <v>22.383545455421057</v>
      </c>
      <c r="I186" s="156">
        <v>0</v>
      </c>
      <c r="J186" s="156">
        <v>58.096015448253894</v>
      </c>
      <c r="K186" s="156" t="s">
        <v>227</v>
      </c>
      <c r="L186" s="156">
        <v>0</v>
      </c>
      <c r="M186" s="156">
        <v>0</v>
      </c>
      <c r="N186" s="156">
        <v>0.22864252759486806</v>
      </c>
      <c r="O186" s="156">
        <v>2.5403025105468314E-2</v>
      </c>
      <c r="P186" s="156">
        <v>0</v>
      </c>
      <c r="Q186" s="156">
        <v>3.0214348540743901</v>
      </c>
      <c r="R186" s="156">
        <v>13.589450638115297</v>
      </c>
      <c r="S186" s="156">
        <v>1.3009843532579093</v>
      </c>
      <c r="T186" s="156">
        <v>134.19600664060212</v>
      </c>
      <c r="U186" s="156">
        <v>9.6604899235531008</v>
      </c>
      <c r="V186" s="156">
        <v>0</v>
      </c>
      <c r="W186" s="164">
        <v>242.50197286597808</v>
      </c>
    </row>
    <row r="187" spans="1:23" ht="14.4" hidden="1" customHeight="1" outlineLevel="2">
      <c r="A187" s="363"/>
      <c r="B187" s="365"/>
      <c r="C187" s="151" t="str">
        <f t="shared" si="2"/>
        <v>Agriculture</v>
      </c>
      <c r="D187" s="270"/>
      <c r="E187" s="163" t="s">
        <v>118</v>
      </c>
      <c r="F187" s="156">
        <v>0</v>
      </c>
      <c r="G187" s="156">
        <v>0</v>
      </c>
      <c r="H187" s="156">
        <v>37.904195650049317</v>
      </c>
      <c r="I187" s="156">
        <v>0</v>
      </c>
      <c r="J187" s="156">
        <v>2.474036683669985</v>
      </c>
      <c r="K187" s="156">
        <v>0</v>
      </c>
      <c r="L187" s="156">
        <v>0</v>
      </c>
      <c r="M187" s="156">
        <v>0</v>
      </c>
      <c r="N187" s="156">
        <v>0.67193978151949763</v>
      </c>
      <c r="O187" s="156">
        <v>0</v>
      </c>
      <c r="P187" s="156">
        <v>1.860734674299823</v>
      </c>
      <c r="Q187" s="156">
        <v>0.12866873241861509</v>
      </c>
      <c r="R187" s="156">
        <v>0</v>
      </c>
      <c r="S187" s="156">
        <v>9.0201671928645533E-2</v>
      </c>
      <c r="T187" s="156">
        <v>7.6519390839570116</v>
      </c>
      <c r="U187" s="156">
        <v>0</v>
      </c>
      <c r="V187" s="156">
        <v>0</v>
      </c>
      <c r="W187" s="164">
        <v>50.781716277842889</v>
      </c>
    </row>
    <row r="188" spans="1:23" ht="14.4" hidden="1" customHeight="1" outlineLevel="2">
      <c r="A188" s="363"/>
      <c r="B188" s="365"/>
      <c r="C188" s="151" t="str">
        <f t="shared" si="2"/>
        <v>Puits technologiques</v>
      </c>
      <c r="D188" s="270"/>
      <c r="E188" s="163" t="s">
        <v>223</v>
      </c>
      <c r="F188" s="156">
        <v>0</v>
      </c>
      <c r="G188" s="156">
        <v>0</v>
      </c>
      <c r="H188" s="156">
        <v>0</v>
      </c>
      <c r="I188" s="156">
        <v>0</v>
      </c>
      <c r="J188" s="156">
        <v>0</v>
      </c>
      <c r="K188" s="156">
        <v>0</v>
      </c>
      <c r="L188" s="156">
        <v>0</v>
      </c>
      <c r="M188" s="156">
        <v>0</v>
      </c>
      <c r="N188" s="156">
        <v>0</v>
      </c>
      <c r="O188" s="156">
        <v>0</v>
      </c>
      <c r="P188" s="156">
        <v>0</v>
      </c>
      <c r="Q188" s="156">
        <v>0</v>
      </c>
      <c r="R188" s="156">
        <v>0</v>
      </c>
      <c r="S188" s="156">
        <v>0</v>
      </c>
      <c r="T188" s="156">
        <v>0</v>
      </c>
      <c r="U188" s="156">
        <v>0</v>
      </c>
      <c r="V188" s="156">
        <v>0</v>
      </c>
      <c r="W188" s="164">
        <v>0</v>
      </c>
    </row>
    <row r="189" spans="1:23" ht="14.4" hidden="1" customHeight="1" outlineLevel="2">
      <c r="A189" s="363"/>
      <c r="B189" s="365"/>
      <c r="C189" s="151" t="str">
        <f t="shared" si="2"/>
        <v>Consommation finale énergétique</v>
      </c>
      <c r="D189" s="270"/>
      <c r="E189" s="159" t="s">
        <v>224</v>
      </c>
      <c r="F189" s="160">
        <v>8.4670468750000012</v>
      </c>
      <c r="G189" s="160">
        <v>0</v>
      </c>
      <c r="H189" s="160">
        <v>545.78080590245975</v>
      </c>
      <c r="I189" s="160">
        <v>0</v>
      </c>
      <c r="J189" s="160">
        <v>261.01520036849445</v>
      </c>
      <c r="K189" s="160">
        <v>0</v>
      </c>
      <c r="L189" s="160">
        <v>0</v>
      </c>
      <c r="M189" s="160">
        <v>0</v>
      </c>
      <c r="N189" s="160">
        <v>85.814029218704619</v>
      </c>
      <c r="O189" s="160">
        <v>1.6148149828297853</v>
      </c>
      <c r="P189" s="160">
        <v>41.593716889810352</v>
      </c>
      <c r="Q189" s="160">
        <v>13.593558376147055</v>
      </c>
      <c r="R189" s="160">
        <v>59.566342760771668</v>
      </c>
      <c r="S189" s="160">
        <v>3.3529679195354438</v>
      </c>
      <c r="T189" s="160">
        <v>420.4724346769118</v>
      </c>
      <c r="U189" s="160">
        <v>44.496160943901863</v>
      </c>
      <c r="V189" s="160">
        <v>2.668667289120865E-2</v>
      </c>
      <c r="W189" s="160">
        <v>1485.793765587458</v>
      </c>
    </row>
    <row r="190" spans="1:23" ht="14.4" hidden="1" customHeight="1" outlineLevel="2">
      <c r="A190" s="363"/>
      <c r="B190" s="365"/>
      <c r="C190" s="151" t="str">
        <f t="shared" si="2"/>
        <v>Consommation finale non énergétique</v>
      </c>
      <c r="D190" s="270"/>
      <c r="E190" s="155" t="s">
        <v>225</v>
      </c>
      <c r="F190" s="156">
        <v>0</v>
      </c>
      <c r="G190" s="156">
        <v>0</v>
      </c>
      <c r="H190" s="156">
        <v>104.97462946759052</v>
      </c>
      <c r="I190" s="156">
        <v>0</v>
      </c>
      <c r="J190" s="156">
        <v>10.178971843502225</v>
      </c>
      <c r="K190" s="156">
        <v>0</v>
      </c>
      <c r="L190" s="156">
        <v>0</v>
      </c>
      <c r="M190" s="156">
        <v>0</v>
      </c>
      <c r="N190" s="156">
        <v>0</v>
      </c>
      <c r="O190" s="156">
        <v>0</v>
      </c>
      <c r="P190" s="156">
        <v>0</v>
      </c>
      <c r="Q190" s="156">
        <v>0</v>
      </c>
      <c r="R190" s="156">
        <v>0</v>
      </c>
      <c r="S190" s="156">
        <v>0</v>
      </c>
      <c r="T190" s="156">
        <v>0</v>
      </c>
      <c r="U190" s="156">
        <v>0</v>
      </c>
      <c r="V190" s="156">
        <v>0</v>
      </c>
      <c r="W190" s="164">
        <v>115.15360131109274</v>
      </c>
    </row>
    <row r="191" spans="1:23" ht="14.4" hidden="1" customHeight="1" outlineLevel="2">
      <c r="A191" s="363"/>
      <c r="B191" s="365"/>
      <c r="C191" s="151" t="str">
        <f t="shared" si="2"/>
        <v>Consommation finale</v>
      </c>
      <c r="D191" s="270"/>
      <c r="E191" s="159" t="s">
        <v>226</v>
      </c>
      <c r="F191" s="160">
        <v>8.4670468750000012</v>
      </c>
      <c r="G191" s="160">
        <v>0</v>
      </c>
      <c r="H191" s="160">
        <v>650.75543537005024</v>
      </c>
      <c r="I191" s="160">
        <v>0</v>
      </c>
      <c r="J191" s="160">
        <v>271.19417221199666</v>
      </c>
      <c r="K191" s="160">
        <v>0</v>
      </c>
      <c r="L191" s="160">
        <v>0</v>
      </c>
      <c r="M191" s="160">
        <v>0</v>
      </c>
      <c r="N191" s="160">
        <v>85.814029218704619</v>
      </c>
      <c r="O191" s="160">
        <v>1.6148149828297853</v>
      </c>
      <c r="P191" s="160">
        <v>41.593716889810352</v>
      </c>
      <c r="Q191" s="160">
        <v>13.593558376147055</v>
      </c>
      <c r="R191" s="160">
        <v>59.566342760771668</v>
      </c>
      <c r="S191" s="160">
        <v>3.3529679195354438</v>
      </c>
      <c r="T191" s="160">
        <v>420.4724346769118</v>
      </c>
      <c r="U191" s="160">
        <v>44.496160943901863</v>
      </c>
      <c r="V191" s="160">
        <v>2.668667289120865E-2</v>
      </c>
      <c r="W191" s="160">
        <v>1600.9473668985506</v>
      </c>
    </row>
    <row r="192" spans="1:23" ht="14.4" customHeight="1" outlineLevel="1" collapsed="1">
      <c r="A192" s="363"/>
      <c r="B192" s="365"/>
      <c r="C192" s="151" t="str">
        <f t="shared" si="2"/>
        <v/>
      </c>
      <c r="D192" s="269"/>
      <c r="E192" s="114"/>
      <c r="F192" s="169"/>
      <c r="G192" s="169"/>
      <c r="H192" s="169"/>
      <c r="I192" s="169"/>
      <c r="J192" s="169"/>
      <c r="K192" s="169"/>
      <c r="L192" s="169"/>
      <c r="M192" s="271"/>
      <c r="N192" s="169"/>
      <c r="O192" s="169"/>
      <c r="P192" s="169"/>
      <c r="Q192" s="169"/>
      <c r="R192" s="169"/>
      <c r="S192" s="169"/>
      <c r="T192" s="169"/>
      <c r="U192" s="169"/>
      <c r="V192" s="169"/>
      <c r="W192" s="169"/>
    </row>
    <row r="193" spans="1:23" ht="27" customHeight="1" outlineLevel="1">
      <c r="A193" s="363"/>
      <c r="B193" s="365"/>
      <c r="C193" s="151">
        <f t="shared" si="2"/>
        <v>2028</v>
      </c>
      <c r="D193" s="269"/>
      <c r="E193" s="654">
        <v>2028</v>
      </c>
      <c r="F193" s="655"/>
      <c r="G193" s="655"/>
      <c r="H193" s="655"/>
      <c r="I193" s="655"/>
      <c r="J193" s="655"/>
      <c r="K193" s="655"/>
      <c r="L193" s="656"/>
      <c r="M193" s="272"/>
      <c r="N193" s="273"/>
      <c r="O193" s="273"/>
      <c r="P193" s="273"/>
      <c r="Q193" s="273"/>
      <c r="R193" s="273"/>
      <c r="S193" s="273"/>
      <c r="T193" s="273"/>
      <c r="U193" s="273"/>
      <c r="V193" s="273"/>
      <c r="W193" s="273"/>
    </row>
    <row r="194" spans="1:23" ht="14.4" hidden="1" customHeight="1" outlineLevel="2">
      <c r="A194" s="363"/>
      <c r="B194" s="365"/>
      <c r="C194" s="151" t="str">
        <f t="shared" si="2"/>
        <v>TWh</v>
      </c>
      <c r="D194" s="269"/>
      <c r="E194" s="662" t="s">
        <v>184</v>
      </c>
      <c r="F194" s="659" t="s">
        <v>185</v>
      </c>
      <c r="G194" s="659" t="s">
        <v>186</v>
      </c>
      <c r="H194" s="659" t="s">
        <v>187</v>
      </c>
      <c r="I194" s="657" t="s">
        <v>188</v>
      </c>
      <c r="J194" s="657" t="s">
        <v>189</v>
      </c>
      <c r="K194" s="657" t="s">
        <v>190</v>
      </c>
      <c r="L194" s="659" t="s">
        <v>191</v>
      </c>
      <c r="M194" s="659" t="s">
        <v>192</v>
      </c>
      <c r="N194" s="659" t="s">
        <v>193</v>
      </c>
      <c r="O194" s="660"/>
      <c r="P194" s="660"/>
      <c r="Q194" s="660"/>
      <c r="R194" s="660"/>
      <c r="S194" s="661"/>
      <c r="T194" s="657" t="s">
        <v>194</v>
      </c>
      <c r="U194" s="657" t="s">
        <v>195</v>
      </c>
      <c r="V194" s="657" t="s">
        <v>196</v>
      </c>
      <c r="W194" s="657" t="s">
        <v>144</v>
      </c>
    </row>
    <row r="195" spans="1:23" ht="36" hidden="1" customHeight="1" outlineLevel="2">
      <c r="A195" s="363"/>
      <c r="B195" s="365"/>
      <c r="C195" s="151" t="str">
        <f t="shared" si="2"/>
        <v/>
      </c>
      <c r="D195" s="270"/>
      <c r="E195" s="662"/>
      <c r="F195" s="659"/>
      <c r="G195" s="659"/>
      <c r="H195" s="659"/>
      <c r="I195" s="658"/>
      <c r="J195" s="658"/>
      <c r="K195" s="658"/>
      <c r="L195" s="659"/>
      <c r="M195" s="659"/>
      <c r="N195" s="153" t="s">
        <v>197</v>
      </c>
      <c r="O195" s="153" t="s">
        <v>24</v>
      </c>
      <c r="P195" s="153" t="s">
        <v>198</v>
      </c>
      <c r="Q195" s="153" t="s">
        <v>199</v>
      </c>
      <c r="R195" s="154" t="s">
        <v>200</v>
      </c>
      <c r="S195" s="153" t="s">
        <v>201</v>
      </c>
      <c r="T195" s="658"/>
      <c r="U195" s="658"/>
      <c r="V195" s="658"/>
      <c r="W195" s="658"/>
    </row>
    <row r="196" spans="1:23" ht="14.4" hidden="1" customHeight="1" outlineLevel="2">
      <c r="A196" s="363"/>
      <c r="B196" s="365"/>
      <c r="C196" s="151" t="str">
        <f t="shared" si="2"/>
        <v>Production d'énergie primaire</v>
      </c>
      <c r="D196" s="270"/>
      <c r="E196" s="155" t="s">
        <v>202</v>
      </c>
      <c r="F196" s="156">
        <v>0</v>
      </c>
      <c r="G196" s="156">
        <v>9.5366</v>
      </c>
      <c r="H196" s="156">
        <v>0</v>
      </c>
      <c r="I196" s="156">
        <v>0</v>
      </c>
      <c r="J196" s="156">
        <v>0.19771000000000002</v>
      </c>
      <c r="K196" s="156">
        <v>0</v>
      </c>
      <c r="L196" s="157">
        <v>1166.943490909091</v>
      </c>
      <c r="M196" s="157">
        <v>182.25139121820175</v>
      </c>
      <c r="N196" s="165">
        <v>218.34358264365727</v>
      </c>
      <c r="O196" s="157">
        <v>38.322547598713619</v>
      </c>
      <c r="P196" s="156">
        <v>0.35283976588636257</v>
      </c>
      <c r="Q196" s="156">
        <v>0.13591260623383666</v>
      </c>
      <c r="R196" s="157">
        <v>69.392827787307397</v>
      </c>
      <c r="S196" s="157">
        <v>8.6186916040252779</v>
      </c>
      <c r="T196" s="156">
        <v>0</v>
      </c>
      <c r="U196" s="156">
        <v>0</v>
      </c>
      <c r="V196" s="156">
        <v>0</v>
      </c>
      <c r="W196" s="158">
        <v>1694.0955941331167</v>
      </c>
    </row>
    <row r="197" spans="1:23" ht="14.4" hidden="1" customHeight="1" outlineLevel="2">
      <c r="A197" s="363"/>
      <c r="B197" s="365"/>
      <c r="C197" s="151" t="str">
        <f t="shared" si="2"/>
        <v>Importations</v>
      </c>
      <c r="D197" s="270"/>
      <c r="E197" s="155" t="s">
        <v>203</v>
      </c>
      <c r="F197" s="156">
        <v>46.920332125134372</v>
      </c>
      <c r="G197" s="156">
        <v>487.76381118815152</v>
      </c>
      <c r="H197" s="156">
        <v>239.27828007992895</v>
      </c>
      <c r="I197" s="157">
        <v>0</v>
      </c>
      <c r="J197" s="157">
        <v>337.07335411300983</v>
      </c>
      <c r="K197" s="157">
        <v>0</v>
      </c>
      <c r="L197" s="156">
        <v>0</v>
      </c>
      <c r="M197" s="156">
        <v>0</v>
      </c>
      <c r="N197" s="156">
        <v>2.8981974519655602</v>
      </c>
      <c r="O197" s="156">
        <v>0</v>
      </c>
      <c r="P197" s="156">
        <v>5.3098193701244343</v>
      </c>
      <c r="Q197" s="156">
        <v>13.312216007856341</v>
      </c>
      <c r="R197" s="156">
        <v>0</v>
      </c>
      <c r="S197" s="156">
        <v>0</v>
      </c>
      <c r="T197" s="156">
        <v>0</v>
      </c>
      <c r="U197" s="156">
        <v>0</v>
      </c>
      <c r="V197" s="156">
        <v>0</v>
      </c>
      <c r="W197" s="158">
        <v>1132.5560103361709</v>
      </c>
    </row>
    <row r="198" spans="1:23" ht="14.4" hidden="1" customHeight="1" outlineLevel="2">
      <c r="A198" s="363"/>
      <c r="B198" s="365"/>
      <c r="C198" s="151" t="str">
        <f t="shared" si="2"/>
        <v>Exportations</v>
      </c>
      <c r="D198" s="270"/>
      <c r="E198" s="155" t="s">
        <v>204</v>
      </c>
      <c r="F198" s="156">
        <v>0</v>
      </c>
      <c r="G198" s="156">
        <v>0</v>
      </c>
      <c r="H198" s="156">
        <v>-1.2467114686900351</v>
      </c>
      <c r="I198" s="157">
        <v>-0.29098727556762466</v>
      </c>
      <c r="J198" s="157">
        <v>0</v>
      </c>
      <c r="K198" s="157">
        <v>0</v>
      </c>
      <c r="L198" s="156">
        <v>0</v>
      </c>
      <c r="M198" s="156">
        <v>0</v>
      </c>
      <c r="N198" s="156">
        <v>-8.6059422348502608</v>
      </c>
      <c r="O198" s="156">
        <v>0</v>
      </c>
      <c r="P198" s="156">
        <v>0</v>
      </c>
      <c r="Q198" s="156">
        <v>0</v>
      </c>
      <c r="R198" s="156">
        <v>0</v>
      </c>
      <c r="S198" s="156">
        <v>0</v>
      </c>
      <c r="T198" s="156">
        <v>-100.71251275676991</v>
      </c>
      <c r="U198" s="156">
        <v>0</v>
      </c>
      <c r="V198" s="156">
        <v>0</v>
      </c>
      <c r="W198" s="158">
        <v>-110.85615373587784</v>
      </c>
    </row>
    <row r="199" spans="1:23" ht="14.4" hidden="1" customHeight="1" outlineLevel="2">
      <c r="A199" s="363"/>
      <c r="B199" s="365"/>
      <c r="C199" s="151" t="str">
        <f t="shared" ref="C199:C262" si="3">IF(ISBLANK(E199),IF(ISBLANK(F199),"",F199),E199)</f>
        <v>Soutes maritimes internationales</v>
      </c>
      <c r="D199" s="270"/>
      <c r="E199" s="155" t="s">
        <v>205</v>
      </c>
      <c r="F199" s="156">
        <v>0</v>
      </c>
      <c r="G199" s="156">
        <v>0</v>
      </c>
      <c r="H199" s="156">
        <v>-13.422215583038367</v>
      </c>
      <c r="I199" s="156">
        <v>-9.3915955842262984E-3</v>
      </c>
      <c r="J199" s="156">
        <v>-2.3273491520010139</v>
      </c>
      <c r="K199" s="156">
        <v>-0.11518186698201112</v>
      </c>
      <c r="L199" s="156">
        <v>0</v>
      </c>
      <c r="M199" s="156">
        <v>0</v>
      </c>
      <c r="N199" s="156">
        <v>0</v>
      </c>
      <c r="O199" s="156">
        <v>0</v>
      </c>
      <c r="P199" s="156">
        <v>-0.61965048677210488</v>
      </c>
      <c r="Q199" s="156">
        <v>-0.48606236355546067</v>
      </c>
      <c r="R199" s="156">
        <v>0</v>
      </c>
      <c r="S199" s="156">
        <v>0</v>
      </c>
      <c r="T199" s="156">
        <v>0</v>
      </c>
      <c r="U199" s="156">
        <v>0</v>
      </c>
      <c r="V199" s="156">
        <v>-1.4197423407749507E-2</v>
      </c>
      <c r="W199" s="158">
        <v>-16.994048471340935</v>
      </c>
    </row>
    <row r="200" spans="1:23" ht="14.4" hidden="1" customHeight="1" outlineLevel="2">
      <c r="A200" s="363"/>
      <c r="B200" s="365"/>
      <c r="C200" s="151" t="str">
        <f t="shared" si="3"/>
        <v>Soutes aériennes internationales</v>
      </c>
      <c r="D200" s="270"/>
      <c r="E200" s="155" t="s">
        <v>206</v>
      </c>
      <c r="F200" s="156">
        <v>0</v>
      </c>
      <c r="G200" s="156">
        <v>0</v>
      </c>
      <c r="H200" s="156">
        <v>-85.537461571731313</v>
      </c>
      <c r="I200" s="156">
        <v>-0.33781134807684304</v>
      </c>
      <c r="J200" s="156">
        <v>0</v>
      </c>
      <c r="K200" s="156">
        <v>0</v>
      </c>
      <c r="L200" s="156">
        <v>0</v>
      </c>
      <c r="M200" s="156">
        <v>0</v>
      </c>
      <c r="N200" s="156">
        <v>0</v>
      </c>
      <c r="O200" s="156">
        <v>0</v>
      </c>
      <c r="P200" s="156">
        <v>-3.1849441398511047</v>
      </c>
      <c r="Q200" s="156">
        <v>0</v>
      </c>
      <c r="R200" s="156">
        <v>0</v>
      </c>
      <c r="S200" s="156">
        <v>0</v>
      </c>
      <c r="T200" s="156">
        <v>0</v>
      </c>
      <c r="U200" s="156">
        <v>0</v>
      </c>
      <c r="V200" s="156">
        <v>0</v>
      </c>
      <c r="W200" s="158">
        <v>-89.060217059659266</v>
      </c>
    </row>
    <row r="201" spans="1:23" ht="14.4" hidden="1" customHeight="1" outlineLevel="2">
      <c r="A201" s="363"/>
      <c r="B201" s="365"/>
      <c r="C201" s="151" t="str">
        <f t="shared" si="3"/>
        <v>Variations de stocks (+ = déstockage, - = stockage)</v>
      </c>
      <c r="D201" s="270"/>
      <c r="E201" s="155" t="s">
        <v>207</v>
      </c>
      <c r="F201" s="156">
        <v>0</v>
      </c>
      <c r="G201" s="156">
        <v>0</v>
      </c>
      <c r="H201" s="156">
        <v>0</v>
      </c>
      <c r="I201" s="157">
        <v>0</v>
      </c>
      <c r="J201" s="157">
        <v>0</v>
      </c>
      <c r="K201" s="157">
        <v>0</v>
      </c>
      <c r="L201" s="156">
        <v>0</v>
      </c>
      <c r="M201" s="156">
        <v>0</v>
      </c>
      <c r="N201" s="156">
        <v>0</v>
      </c>
      <c r="O201" s="156">
        <v>0</v>
      </c>
      <c r="P201" s="156">
        <v>0</v>
      </c>
      <c r="Q201" s="156">
        <v>0</v>
      </c>
      <c r="R201" s="156">
        <v>0</v>
      </c>
      <c r="S201" s="156">
        <v>0</v>
      </c>
      <c r="T201" s="156">
        <v>0</v>
      </c>
      <c r="U201" s="156">
        <v>0</v>
      </c>
      <c r="V201" s="156">
        <v>0</v>
      </c>
      <c r="W201" s="158">
        <v>0</v>
      </c>
    </row>
    <row r="202" spans="1:23" ht="14.4" hidden="1" customHeight="1" outlineLevel="2">
      <c r="A202" s="363"/>
      <c r="B202" s="365"/>
      <c r="C202" s="151" t="str">
        <f t="shared" si="3"/>
        <v>Total approvisionnement / consommation primaire</v>
      </c>
      <c r="D202" s="270"/>
      <c r="E202" s="159" t="s">
        <v>208</v>
      </c>
      <c r="F202" s="160">
        <v>46.920332125134372</v>
      </c>
      <c r="G202" s="160">
        <v>497.30041118815154</v>
      </c>
      <c r="H202" s="160">
        <v>139.07189145646925</v>
      </c>
      <c r="I202" s="160">
        <v>-0.63819021922869401</v>
      </c>
      <c r="J202" s="160">
        <v>334.94371496100877</v>
      </c>
      <c r="K202" s="160">
        <v>-0.11518186698201112</v>
      </c>
      <c r="L202" s="160">
        <v>1166.943490909091</v>
      </c>
      <c r="M202" s="160">
        <v>182.25139121820175</v>
      </c>
      <c r="N202" s="160">
        <v>212.63583786077257</v>
      </c>
      <c r="O202" s="160">
        <v>38.322547598713619</v>
      </c>
      <c r="P202" s="160">
        <v>1.8580645093875874</v>
      </c>
      <c r="Q202" s="160">
        <v>12.962066250534717</v>
      </c>
      <c r="R202" s="160">
        <v>69.392827787307397</v>
      </c>
      <c r="S202" s="160">
        <v>8.6186916040252779</v>
      </c>
      <c r="T202" s="160">
        <v>-100.71251275676991</v>
      </c>
      <c r="U202" s="160">
        <v>0</v>
      </c>
      <c r="V202" s="160">
        <v>-1.4197423407749507E-2</v>
      </c>
      <c r="W202" s="160">
        <v>2609.7411852024093</v>
      </c>
    </row>
    <row r="203" spans="1:23" ht="14.4" hidden="1" customHeight="1" outlineLevel="2">
      <c r="A203" s="363"/>
      <c r="B203" s="365"/>
      <c r="C203" s="151">
        <f t="shared" si="3"/>
        <v>0</v>
      </c>
      <c r="D203" s="270"/>
      <c r="E203" s="161"/>
      <c r="F203" s="162">
        <v>0</v>
      </c>
      <c r="G203" s="162">
        <v>0</v>
      </c>
      <c r="H203" s="162">
        <v>0</v>
      </c>
      <c r="I203" s="162"/>
      <c r="J203" s="162"/>
      <c r="K203" s="162"/>
      <c r="L203" s="162">
        <v>0</v>
      </c>
      <c r="M203" s="162">
        <v>0</v>
      </c>
      <c r="N203" s="162">
        <v>0</v>
      </c>
      <c r="O203" s="162">
        <v>0</v>
      </c>
      <c r="P203" s="162">
        <v>0</v>
      </c>
      <c r="Q203" s="162">
        <v>0</v>
      </c>
      <c r="R203" s="162">
        <v>0</v>
      </c>
      <c r="S203" s="162">
        <v>0</v>
      </c>
      <c r="T203" s="162">
        <v>0</v>
      </c>
      <c r="U203" s="162">
        <v>0</v>
      </c>
      <c r="V203" s="162">
        <v>0</v>
      </c>
      <c r="W203" s="162">
        <v>0</v>
      </c>
    </row>
    <row r="204" spans="1:23" ht="14.4" hidden="1" customHeight="1" outlineLevel="2">
      <c r="A204" s="363"/>
      <c r="B204" s="365"/>
      <c r="C204" s="151" t="str">
        <f t="shared" si="3"/>
        <v>Écart statistique</v>
      </c>
      <c r="D204" s="270"/>
      <c r="E204" s="163" t="s">
        <v>209</v>
      </c>
      <c r="F204" s="156">
        <v>0</v>
      </c>
      <c r="G204" s="156">
        <v>0</v>
      </c>
      <c r="H204" s="156">
        <v>0</v>
      </c>
      <c r="I204" s="156">
        <v>0</v>
      </c>
      <c r="J204" s="156">
        <v>0</v>
      </c>
      <c r="K204" s="156">
        <v>0</v>
      </c>
      <c r="L204" s="156">
        <v>0</v>
      </c>
      <c r="M204" s="156">
        <v>0</v>
      </c>
      <c r="N204" s="156">
        <v>0</v>
      </c>
      <c r="O204" s="156">
        <v>0</v>
      </c>
      <c r="P204" s="156">
        <v>0</v>
      </c>
      <c r="Q204" s="156">
        <v>0</v>
      </c>
      <c r="R204" s="156">
        <v>0</v>
      </c>
      <c r="S204" s="156">
        <v>0</v>
      </c>
      <c r="T204" s="156">
        <v>0</v>
      </c>
      <c r="U204" s="156">
        <v>0</v>
      </c>
      <c r="V204" s="156">
        <v>0</v>
      </c>
      <c r="W204" s="164">
        <v>0</v>
      </c>
    </row>
    <row r="205" spans="1:23" ht="14.4" hidden="1" customHeight="1" outlineLevel="2">
      <c r="A205" s="363"/>
      <c r="B205" s="365"/>
      <c r="C205" s="151" t="str">
        <f t="shared" si="3"/>
        <v>Production d'électricité</v>
      </c>
      <c r="D205" s="270"/>
      <c r="E205" s="163" t="s">
        <v>13</v>
      </c>
      <c r="F205" s="156">
        <v>1.6582621677480054</v>
      </c>
      <c r="G205" s="156">
        <v>0</v>
      </c>
      <c r="H205" s="156">
        <v>7.0717834314717898</v>
      </c>
      <c r="I205" s="156">
        <v>0</v>
      </c>
      <c r="J205" s="156">
        <v>49.594095940959406</v>
      </c>
      <c r="K205" s="156">
        <v>0</v>
      </c>
      <c r="L205" s="156">
        <v>1166.943490909091</v>
      </c>
      <c r="M205" s="156">
        <v>182.25139121820175</v>
      </c>
      <c r="N205" s="156">
        <v>27.73895136264958</v>
      </c>
      <c r="O205" s="156">
        <v>8.1003855781974572</v>
      </c>
      <c r="P205" s="156">
        <v>2.4060880076266726</v>
      </c>
      <c r="Q205" s="156">
        <v>5.8607116977938487</v>
      </c>
      <c r="R205" s="156">
        <v>0</v>
      </c>
      <c r="S205" s="156">
        <v>2.3834033931245258</v>
      </c>
      <c r="T205" s="156">
        <v>-614.8694493987332</v>
      </c>
      <c r="U205" s="156">
        <v>0</v>
      </c>
      <c r="V205" s="156">
        <v>0</v>
      </c>
      <c r="W205" s="164">
        <v>839.13911430813084</v>
      </c>
    </row>
    <row r="206" spans="1:23" ht="14.4" hidden="1" customHeight="1" outlineLevel="2">
      <c r="A206" s="363"/>
      <c r="B206" s="365"/>
      <c r="C206" s="151" t="str">
        <f t="shared" si="3"/>
        <v>Production de chaleur</v>
      </c>
      <c r="D206" s="270"/>
      <c r="E206" s="163" t="s">
        <v>210</v>
      </c>
      <c r="F206" s="156">
        <v>3.8636363636363642E-2</v>
      </c>
      <c r="G206" s="156">
        <v>0</v>
      </c>
      <c r="H206" s="156">
        <v>0</v>
      </c>
      <c r="I206" s="156">
        <v>0</v>
      </c>
      <c r="J206" s="156">
        <v>16.081351251651359</v>
      </c>
      <c r="K206" s="156">
        <v>0</v>
      </c>
      <c r="L206" s="156">
        <v>0</v>
      </c>
      <c r="M206" s="156">
        <v>0</v>
      </c>
      <c r="N206" s="156">
        <v>15.797398341298416</v>
      </c>
      <c r="O206" s="156">
        <v>14.605841450268134</v>
      </c>
      <c r="P206" s="156">
        <v>0</v>
      </c>
      <c r="Q206" s="156">
        <v>2.7621540249287593</v>
      </c>
      <c r="R206" s="156">
        <v>0</v>
      </c>
      <c r="S206" s="156">
        <v>2.7050350851818767</v>
      </c>
      <c r="T206" s="156">
        <v>0</v>
      </c>
      <c r="U206" s="156">
        <v>-46.922360432854717</v>
      </c>
      <c r="V206" s="156">
        <v>0</v>
      </c>
      <c r="W206" s="164">
        <v>5.0680560841101956</v>
      </c>
    </row>
    <row r="207" spans="1:23" ht="14.4" hidden="1" customHeight="1" outlineLevel="2">
      <c r="A207" s="363"/>
      <c r="B207" s="365"/>
      <c r="C207" s="151" t="str">
        <f t="shared" si="3"/>
        <v>Production de gaz renouvelable</v>
      </c>
      <c r="D207" s="270"/>
      <c r="E207" s="163" t="s">
        <v>211</v>
      </c>
      <c r="F207" s="156">
        <v>0</v>
      </c>
      <c r="G207" s="156">
        <v>0</v>
      </c>
      <c r="H207" s="156">
        <v>0</v>
      </c>
      <c r="I207" s="156">
        <v>0</v>
      </c>
      <c r="J207" s="156">
        <v>0</v>
      </c>
      <c r="K207" s="156">
        <v>0</v>
      </c>
      <c r="L207" s="156">
        <v>0</v>
      </c>
      <c r="M207" s="156">
        <v>0</v>
      </c>
      <c r="N207" s="156">
        <v>18.979773431955998</v>
      </c>
      <c r="O207" s="156">
        <v>6.7206083286300249</v>
      </c>
      <c r="P207" s="156">
        <v>0</v>
      </c>
      <c r="Q207" s="156">
        <v>-12.850190880293011</v>
      </c>
      <c r="R207" s="156">
        <v>0</v>
      </c>
      <c r="S207" s="156">
        <v>0</v>
      </c>
      <c r="T207" s="156">
        <v>0</v>
      </c>
      <c r="U207" s="156">
        <v>0</v>
      </c>
      <c r="V207" s="156">
        <v>0</v>
      </c>
      <c r="W207" s="164">
        <v>12.850190880293011</v>
      </c>
    </row>
    <row r="208" spans="1:23" ht="14.4" hidden="1" customHeight="1" outlineLevel="2">
      <c r="A208" s="363"/>
      <c r="B208" s="365"/>
      <c r="C208" s="151" t="str">
        <f t="shared" si="3"/>
        <v>Production de gaz de synthèse</v>
      </c>
      <c r="D208" s="270"/>
      <c r="E208" s="163" t="s">
        <v>212</v>
      </c>
      <c r="F208" s="156">
        <v>0</v>
      </c>
      <c r="G208" s="156">
        <v>0</v>
      </c>
      <c r="H208" s="156">
        <v>0</v>
      </c>
      <c r="I208" s="156">
        <v>0</v>
      </c>
      <c r="J208" s="156">
        <v>0</v>
      </c>
      <c r="K208" s="156">
        <v>-0.11518186698201112</v>
      </c>
      <c r="L208" s="156">
        <v>0</v>
      </c>
      <c r="M208" s="156">
        <v>0</v>
      </c>
      <c r="N208" s="156">
        <v>0</v>
      </c>
      <c r="O208" s="156">
        <v>0</v>
      </c>
      <c r="P208" s="156">
        <v>0</v>
      </c>
      <c r="Q208" s="156">
        <v>0</v>
      </c>
      <c r="R208" s="156">
        <v>0</v>
      </c>
      <c r="S208" s="156">
        <v>0</v>
      </c>
      <c r="T208" s="156">
        <v>0</v>
      </c>
      <c r="U208" s="156">
        <v>0</v>
      </c>
      <c r="V208" s="156">
        <v>0</v>
      </c>
      <c r="W208" s="164">
        <v>-0.11518186698201112</v>
      </c>
    </row>
    <row r="209" spans="1:23" ht="14.4" hidden="1" customHeight="1" outlineLevel="2">
      <c r="A209" s="363"/>
      <c r="B209" s="365"/>
      <c r="C209" s="151" t="str">
        <f t="shared" si="3"/>
        <v>Raffinage de pétrole</v>
      </c>
      <c r="D209" s="270"/>
      <c r="E209" s="163" t="s">
        <v>213</v>
      </c>
      <c r="F209" s="156">
        <v>0</v>
      </c>
      <c r="G209" s="156">
        <v>515.40558825840174</v>
      </c>
      <c r="H209" s="156">
        <v>-510.27615779731889</v>
      </c>
      <c r="I209" s="156">
        <v>0</v>
      </c>
      <c r="J209" s="156">
        <v>0</v>
      </c>
      <c r="K209" s="156">
        <v>0</v>
      </c>
      <c r="L209" s="156">
        <v>0</v>
      </c>
      <c r="M209" s="156">
        <v>0</v>
      </c>
      <c r="N209" s="156">
        <v>0</v>
      </c>
      <c r="O209" s="156">
        <v>0</v>
      </c>
      <c r="P209" s="156">
        <v>0</v>
      </c>
      <c r="Q209" s="156">
        <v>0</v>
      </c>
      <c r="R209" s="156">
        <v>0</v>
      </c>
      <c r="S209" s="156">
        <v>0</v>
      </c>
      <c r="T209" s="156">
        <v>0</v>
      </c>
      <c r="U209" s="156">
        <v>0</v>
      </c>
      <c r="V209" s="156">
        <v>0</v>
      </c>
      <c r="W209" s="164">
        <v>5.1294304610828663</v>
      </c>
    </row>
    <row r="210" spans="1:23" ht="14.4" hidden="1" customHeight="1" outlineLevel="2">
      <c r="A210" s="363"/>
      <c r="B210" s="365"/>
      <c r="C210" s="151" t="str">
        <f t="shared" si="3"/>
        <v>Production de biocarburants</v>
      </c>
      <c r="D210" s="270"/>
      <c r="E210" s="163" t="s">
        <v>214</v>
      </c>
      <c r="F210" s="156">
        <v>0</v>
      </c>
      <c r="G210" s="156">
        <v>0</v>
      </c>
      <c r="H210" s="156">
        <v>0</v>
      </c>
      <c r="I210" s="156">
        <v>0</v>
      </c>
      <c r="J210" s="156">
        <v>0</v>
      </c>
      <c r="K210" s="156">
        <v>0</v>
      </c>
      <c r="L210" s="156">
        <v>0</v>
      </c>
      <c r="M210" s="156">
        <v>0</v>
      </c>
      <c r="N210" s="156">
        <v>64.597792998952045</v>
      </c>
      <c r="O210" s="156">
        <v>7.2727272727272725</v>
      </c>
      <c r="P210" s="156">
        <v>-39.528786149423624</v>
      </c>
      <c r="Q210" s="156">
        <v>0</v>
      </c>
      <c r="R210" s="156">
        <v>0</v>
      </c>
      <c r="S210" s="156">
        <v>0</v>
      </c>
      <c r="T210" s="156">
        <v>0</v>
      </c>
      <c r="U210" s="156">
        <v>0</v>
      </c>
      <c r="V210" s="156">
        <v>0</v>
      </c>
      <c r="W210" s="164">
        <v>32.341734122255687</v>
      </c>
    </row>
    <row r="211" spans="1:23" ht="14.4" hidden="1" customHeight="1" outlineLevel="2">
      <c r="A211" s="363"/>
      <c r="B211" s="365"/>
      <c r="C211" s="151" t="str">
        <f t="shared" si="3"/>
        <v>Production d'e-fuels</v>
      </c>
      <c r="D211" s="270"/>
      <c r="E211" s="163" t="s">
        <v>215</v>
      </c>
      <c r="F211" s="156">
        <v>0</v>
      </c>
      <c r="G211" s="156">
        <v>0</v>
      </c>
      <c r="H211" s="156">
        <v>0</v>
      </c>
      <c r="I211" s="156">
        <v>-0.66750860255966893</v>
      </c>
      <c r="J211" s="156">
        <v>0</v>
      </c>
      <c r="K211" s="156">
        <v>0</v>
      </c>
      <c r="L211" s="156">
        <v>0</v>
      </c>
      <c r="M211" s="156">
        <v>0</v>
      </c>
      <c r="N211" s="156">
        <v>0</v>
      </c>
      <c r="O211" s="156">
        <v>0</v>
      </c>
      <c r="P211" s="156">
        <v>0</v>
      </c>
      <c r="Q211" s="156">
        <v>0</v>
      </c>
      <c r="R211" s="156">
        <v>0</v>
      </c>
      <c r="S211" s="156">
        <v>0</v>
      </c>
      <c r="T211" s="156">
        <v>0</v>
      </c>
      <c r="U211" s="156">
        <v>0</v>
      </c>
      <c r="V211" s="156">
        <v>0.92967771944243593</v>
      </c>
      <c r="W211" s="164">
        <v>0.26216911688276701</v>
      </c>
    </row>
    <row r="212" spans="1:23" ht="14.4" hidden="1" customHeight="1" outlineLevel="2">
      <c r="A212" s="363"/>
      <c r="B212" s="365"/>
      <c r="C212" s="151" t="str">
        <f t="shared" si="3"/>
        <v>Production d'hydrogène</v>
      </c>
      <c r="D212" s="270"/>
      <c r="E212" s="163" t="s">
        <v>216</v>
      </c>
      <c r="F212" s="156">
        <v>0</v>
      </c>
      <c r="G212" s="156">
        <v>0</v>
      </c>
      <c r="H212" s="156">
        <v>0</v>
      </c>
      <c r="I212" s="156">
        <v>0</v>
      </c>
      <c r="J212" s="156">
        <v>0.71082618276039988</v>
      </c>
      <c r="K212" s="156">
        <v>0</v>
      </c>
      <c r="L212" s="156">
        <v>0</v>
      </c>
      <c r="M212" s="156">
        <v>0</v>
      </c>
      <c r="N212" s="156">
        <v>0</v>
      </c>
      <c r="O212" s="156">
        <v>1.5158671189546759E-2</v>
      </c>
      <c r="P212" s="156">
        <v>0</v>
      </c>
      <c r="Q212" s="156">
        <v>4.7107376716938064E-2</v>
      </c>
      <c r="R212" s="156">
        <v>0</v>
      </c>
      <c r="S212" s="156">
        <v>0</v>
      </c>
      <c r="T212" s="156">
        <v>0.79991141815608269</v>
      </c>
      <c r="U212" s="156">
        <v>0</v>
      </c>
      <c r="V212" s="156">
        <v>-1.0611069832682731</v>
      </c>
      <c r="W212" s="164">
        <v>0.51189666555469415</v>
      </c>
    </row>
    <row r="213" spans="1:23" ht="14.4" hidden="1" customHeight="1" outlineLevel="2">
      <c r="A213" s="363"/>
      <c r="B213" s="365"/>
      <c r="C213" s="151" t="str">
        <f t="shared" si="3"/>
        <v>Autres transformations, transferts</v>
      </c>
      <c r="D213" s="270"/>
      <c r="E213" s="163" t="s">
        <v>217</v>
      </c>
      <c r="F213" s="156">
        <v>28.014743671874999</v>
      </c>
      <c r="G213" s="156">
        <v>-18.105177070250189</v>
      </c>
      <c r="H213" s="156">
        <v>23.774611096473951</v>
      </c>
      <c r="I213" s="156">
        <v>0</v>
      </c>
      <c r="J213" s="156">
        <v>0</v>
      </c>
      <c r="K213" s="156">
        <v>0</v>
      </c>
      <c r="L213" s="156">
        <v>0</v>
      </c>
      <c r="M213" s="156">
        <v>0</v>
      </c>
      <c r="N213" s="156">
        <v>0</v>
      </c>
      <c r="O213" s="156">
        <v>0</v>
      </c>
      <c r="P213" s="156">
        <v>0</v>
      </c>
      <c r="Q213" s="156">
        <v>0</v>
      </c>
      <c r="R213" s="156">
        <v>0</v>
      </c>
      <c r="S213" s="156">
        <v>0</v>
      </c>
      <c r="T213" s="156">
        <v>0</v>
      </c>
      <c r="U213" s="156">
        <v>0</v>
      </c>
      <c r="V213" s="156">
        <v>0</v>
      </c>
      <c r="W213" s="164">
        <v>33.684177698098765</v>
      </c>
    </row>
    <row r="214" spans="1:23" ht="14.4" hidden="1" customHeight="1" outlineLevel="2">
      <c r="A214" s="363"/>
      <c r="B214" s="365"/>
      <c r="C214" s="151" t="str">
        <f t="shared" si="3"/>
        <v>Usages internes de la branche énergie</v>
      </c>
      <c r="D214" s="270"/>
      <c r="E214" s="163" t="s">
        <v>218</v>
      </c>
      <c r="F214" s="156">
        <v>10.894622539062501</v>
      </c>
      <c r="G214" s="156">
        <v>0</v>
      </c>
      <c r="H214" s="156">
        <v>17.75086010030828</v>
      </c>
      <c r="I214" s="156">
        <v>0</v>
      </c>
      <c r="J214" s="156">
        <v>4.7451150844324985</v>
      </c>
      <c r="K214" s="156">
        <v>0</v>
      </c>
      <c r="L214" s="156">
        <v>0</v>
      </c>
      <c r="M214" s="156">
        <v>0</v>
      </c>
      <c r="N214" s="156">
        <v>0</v>
      </c>
      <c r="O214" s="156">
        <v>0</v>
      </c>
      <c r="P214" s="156">
        <v>0</v>
      </c>
      <c r="Q214" s="156">
        <v>0.31446495538408281</v>
      </c>
      <c r="R214" s="156">
        <v>0</v>
      </c>
      <c r="S214" s="156">
        <v>0</v>
      </c>
      <c r="T214" s="156">
        <v>36.609282916066206</v>
      </c>
      <c r="U214" s="156">
        <v>0</v>
      </c>
      <c r="V214" s="156">
        <v>0</v>
      </c>
      <c r="W214" s="164">
        <v>70.31434559525357</v>
      </c>
    </row>
    <row r="215" spans="1:23" ht="14.4" hidden="1" customHeight="1" outlineLevel="2">
      <c r="A215" s="363"/>
      <c r="B215" s="365"/>
      <c r="C215" s="151" t="str">
        <f t="shared" si="3"/>
        <v>Pertes de transport et de distribution</v>
      </c>
      <c r="D215" s="270"/>
      <c r="E215" s="163" t="s">
        <v>219</v>
      </c>
      <c r="F215" s="156">
        <v>0</v>
      </c>
      <c r="G215" s="156">
        <v>0</v>
      </c>
      <c r="H215" s="156">
        <v>0</v>
      </c>
      <c r="I215" s="156">
        <v>0</v>
      </c>
      <c r="J215" s="156">
        <v>3.0722822305625983</v>
      </c>
      <c r="K215" s="156">
        <v>0</v>
      </c>
      <c r="L215" s="156">
        <v>0</v>
      </c>
      <c r="M215" s="156">
        <v>0</v>
      </c>
      <c r="N215" s="156">
        <v>0</v>
      </c>
      <c r="O215" s="156">
        <v>0</v>
      </c>
      <c r="P215" s="156">
        <v>0</v>
      </c>
      <c r="Q215" s="156">
        <v>0.20360414391861342</v>
      </c>
      <c r="R215" s="156">
        <v>0</v>
      </c>
      <c r="S215" s="156">
        <v>0</v>
      </c>
      <c r="T215" s="156">
        <v>39.377441575693624</v>
      </c>
      <c r="U215" s="156">
        <v>3.640293688934622</v>
      </c>
      <c r="V215" s="156">
        <v>0</v>
      </c>
      <c r="W215" s="164">
        <v>46.293621639109453</v>
      </c>
    </row>
    <row r="216" spans="1:23" ht="14.4" hidden="1" customHeight="1" outlineLevel="2">
      <c r="A216" s="363"/>
      <c r="B216" s="365"/>
      <c r="C216" s="151" t="str">
        <f t="shared" si="3"/>
        <v>Consommation nette de la branche énergie</v>
      </c>
      <c r="D216" s="270"/>
      <c r="E216" s="159" t="s">
        <v>220</v>
      </c>
      <c r="F216" s="160">
        <v>40.606264742321869</v>
      </c>
      <c r="G216" s="160">
        <v>497.30041118815154</v>
      </c>
      <c r="H216" s="160">
        <v>-461.67890316906488</v>
      </c>
      <c r="I216" s="160">
        <v>-0.66750860255966893</v>
      </c>
      <c r="J216" s="160">
        <v>74.203670690366252</v>
      </c>
      <c r="K216" s="160">
        <v>-0.11518186698201112</v>
      </c>
      <c r="L216" s="160">
        <v>1166.943490909091</v>
      </c>
      <c r="M216" s="160">
        <v>182.25139121820175</v>
      </c>
      <c r="N216" s="160">
        <v>127.11391613485604</v>
      </c>
      <c r="O216" s="160">
        <v>36.714721301012432</v>
      </c>
      <c r="P216" s="160">
        <v>-37.122698141796953</v>
      </c>
      <c r="Q216" s="160">
        <v>-3.6621486815507689</v>
      </c>
      <c r="R216" s="160">
        <v>0</v>
      </c>
      <c r="S216" s="160">
        <v>5.0884384783064025</v>
      </c>
      <c r="T216" s="160">
        <v>-538.08281348881724</v>
      </c>
      <c r="U216" s="160">
        <v>-43.28206674392009</v>
      </c>
      <c r="V216" s="160">
        <v>-0.13142926382583719</v>
      </c>
      <c r="W216" s="160">
        <v>1045.47955470379</v>
      </c>
    </row>
    <row r="217" spans="1:23" ht="14.4" hidden="1" customHeight="1" outlineLevel="2">
      <c r="A217" s="363"/>
      <c r="B217" s="365"/>
      <c r="C217" s="151">
        <f t="shared" si="3"/>
        <v>0</v>
      </c>
      <c r="D217" s="270"/>
      <c r="E217" s="161"/>
      <c r="F217" s="162">
        <v>0</v>
      </c>
      <c r="G217" s="162">
        <v>0</v>
      </c>
      <c r="H217" s="162">
        <v>0</v>
      </c>
      <c r="I217" s="162"/>
      <c r="J217" s="162"/>
      <c r="K217" s="162"/>
      <c r="L217" s="162">
        <v>0</v>
      </c>
      <c r="M217" s="162">
        <v>0</v>
      </c>
      <c r="N217" s="162">
        <v>0</v>
      </c>
      <c r="O217" s="162">
        <v>0</v>
      </c>
      <c r="P217" s="162">
        <v>0</v>
      </c>
      <c r="Q217" s="162">
        <v>0</v>
      </c>
      <c r="R217" s="162">
        <v>0</v>
      </c>
      <c r="S217" s="162">
        <v>0</v>
      </c>
      <c r="T217" s="162">
        <v>0</v>
      </c>
      <c r="U217" s="162">
        <v>0</v>
      </c>
      <c r="V217" s="162">
        <v>0</v>
      </c>
      <c r="W217" s="162">
        <v>0</v>
      </c>
    </row>
    <row r="218" spans="1:23" ht="14.4" hidden="1" customHeight="1" outlineLevel="2">
      <c r="A218" s="363"/>
      <c r="B218" s="365"/>
      <c r="C218" s="151" t="str">
        <f t="shared" si="3"/>
        <v>Industrie</v>
      </c>
      <c r="D218" s="270"/>
      <c r="E218" s="163" t="s">
        <v>0</v>
      </c>
      <c r="F218" s="156">
        <v>6.3140673828124996</v>
      </c>
      <c r="G218" s="156">
        <v>0</v>
      </c>
      <c r="H218" s="156">
        <v>24.963617408734216</v>
      </c>
      <c r="I218" s="156">
        <v>0</v>
      </c>
      <c r="J218" s="156">
        <v>96.991356682958454</v>
      </c>
      <c r="K218" s="156">
        <v>0</v>
      </c>
      <c r="L218" s="156">
        <v>0</v>
      </c>
      <c r="M218" s="156">
        <v>0</v>
      </c>
      <c r="N218" s="156">
        <v>19.920935259167848</v>
      </c>
      <c r="O218" s="156">
        <v>1.5836591373047111</v>
      </c>
      <c r="P218" s="156">
        <v>1.0733395444140961</v>
      </c>
      <c r="Q218" s="156">
        <v>6.4465187733364733</v>
      </c>
      <c r="R218" s="156">
        <v>8.4813159704208376E-4</v>
      </c>
      <c r="S218" s="156">
        <v>3.8276465550578687E-4</v>
      </c>
      <c r="T218" s="156">
        <v>110.58205350206055</v>
      </c>
      <c r="U218" s="156">
        <v>19.581337655977432</v>
      </c>
      <c r="V218" s="156">
        <v>3.5811901092529297E-2</v>
      </c>
      <c r="W218" s="164">
        <v>287.49392814411135</v>
      </c>
    </row>
    <row r="219" spans="1:23" ht="14.4" hidden="1" customHeight="1" outlineLevel="2">
      <c r="A219" s="363"/>
      <c r="B219" s="365"/>
      <c r="C219" s="151" t="str">
        <f t="shared" si="3"/>
        <v>Transport</v>
      </c>
      <c r="D219" s="270"/>
      <c r="E219" s="163" t="s">
        <v>1</v>
      </c>
      <c r="F219" s="156">
        <v>0</v>
      </c>
      <c r="G219" s="156">
        <v>0</v>
      </c>
      <c r="H219" s="156">
        <v>395.47271041225531</v>
      </c>
      <c r="I219" s="156">
        <v>2.9318383330974938E-2</v>
      </c>
      <c r="J219" s="156">
        <v>5.7075965486936981</v>
      </c>
      <c r="K219" s="156">
        <v>0</v>
      </c>
      <c r="L219" s="156">
        <v>0</v>
      </c>
      <c r="M219" s="156">
        <v>0</v>
      </c>
      <c r="N219" s="156">
        <v>0</v>
      </c>
      <c r="O219" s="156">
        <v>0</v>
      </c>
      <c r="P219" s="156">
        <v>36.09954618259529</v>
      </c>
      <c r="Q219" s="156">
        <v>0.37824985529301791</v>
      </c>
      <c r="R219" s="156">
        <v>0</v>
      </c>
      <c r="S219" s="156">
        <v>0</v>
      </c>
      <c r="T219" s="156">
        <v>23.498179133284061</v>
      </c>
      <c r="U219" s="156">
        <v>0</v>
      </c>
      <c r="V219" s="156">
        <v>8.1419939325558438E-2</v>
      </c>
      <c r="W219" s="164">
        <v>461.26702045477793</v>
      </c>
    </row>
    <row r="220" spans="1:23" ht="14.4" hidden="1" customHeight="1" outlineLevel="2">
      <c r="A220" s="363"/>
      <c r="B220" s="365"/>
      <c r="C220" s="151" t="str">
        <f t="shared" si="3"/>
        <v>Résidentiel</v>
      </c>
      <c r="D220" s="270"/>
      <c r="E220" s="163" t="s">
        <v>221</v>
      </c>
      <c r="F220" s="156">
        <v>0</v>
      </c>
      <c r="G220" s="156">
        <v>0</v>
      </c>
      <c r="H220" s="156">
        <v>21.36025196909533</v>
      </c>
      <c r="I220" s="156">
        <v>0</v>
      </c>
      <c r="J220" s="156">
        <v>91.847156563925324</v>
      </c>
      <c r="K220" s="156" t="s">
        <v>227</v>
      </c>
      <c r="L220" s="156">
        <v>0</v>
      </c>
      <c r="M220" s="156">
        <v>0</v>
      </c>
      <c r="N220" s="156">
        <v>64.531890507121759</v>
      </c>
      <c r="O220" s="156">
        <v>0</v>
      </c>
      <c r="P220" s="156">
        <v>0</v>
      </c>
      <c r="Q220" s="156">
        <v>6.0868306620815984</v>
      </c>
      <c r="R220" s="156">
        <v>53.09311545106101</v>
      </c>
      <c r="S220" s="156">
        <v>2.1400839143278176</v>
      </c>
      <c r="T220" s="156">
        <v>159.36622044014177</v>
      </c>
      <c r="U220" s="156">
        <v>14.112875555300128</v>
      </c>
      <c r="V220" s="156">
        <v>0</v>
      </c>
      <c r="W220" s="164">
        <v>412.53842506305483</v>
      </c>
    </row>
    <row r="221" spans="1:23" ht="14.4" hidden="1" customHeight="1" outlineLevel="2">
      <c r="A221" s="363"/>
      <c r="B221" s="365"/>
      <c r="C221" s="151" t="str">
        <f t="shared" si="3"/>
        <v>Tertiaire</v>
      </c>
      <c r="D221" s="270"/>
      <c r="E221" s="163" t="s">
        <v>222</v>
      </c>
      <c r="F221" s="156">
        <v>0</v>
      </c>
      <c r="G221" s="156">
        <v>0</v>
      </c>
      <c r="H221" s="156">
        <v>20.36820517115752</v>
      </c>
      <c r="I221" s="156">
        <v>0</v>
      </c>
      <c r="J221" s="156">
        <v>53.709288476374809</v>
      </c>
      <c r="K221" s="156" t="s">
        <v>227</v>
      </c>
      <c r="L221" s="156">
        <v>0</v>
      </c>
      <c r="M221" s="156">
        <v>0</v>
      </c>
      <c r="N221" s="156">
        <v>0.23380408487763271</v>
      </c>
      <c r="O221" s="156">
        <v>2.4167160396468882E-2</v>
      </c>
      <c r="P221" s="156">
        <v>0</v>
      </c>
      <c r="Q221" s="156">
        <v>3.5593844836018338</v>
      </c>
      <c r="R221" s="156">
        <v>16.298864204649341</v>
      </c>
      <c r="S221" s="156">
        <v>1.3031466049830513</v>
      </c>
      <c r="T221" s="156">
        <v>136.48808928405387</v>
      </c>
      <c r="U221" s="156">
        <v>9.58785353264253</v>
      </c>
      <c r="V221" s="156">
        <v>0</v>
      </c>
      <c r="W221" s="164">
        <v>241.57280300273709</v>
      </c>
    </row>
    <row r="222" spans="1:23" ht="14.4" hidden="1" customHeight="1" outlineLevel="2">
      <c r="A222" s="363"/>
      <c r="B222" s="365"/>
      <c r="C222" s="151" t="str">
        <f t="shared" si="3"/>
        <v>Agriculture</v>
      </c>
      <c r="D222" s="270"/>
      <c r="E222" s="163" t="s">
        <v>118</v>
      </c>
      <c r="F222" s="156">
        <v>0</v>
      </c>
      <c r="G222" s="156">
        <v>0</v>
      </c>
      <c r="H222" s="156">
        <v>36.916718846308918</v>
      </c>
      <c r="I222" s="156">
        <v>0</v>
      </c>
      <c r="J222" s="156">
        <v>2.3121796744046388</v>
      </c>
      <c r="K222" s="156">
        <v>0</v>
      </c>
      <c r="L222" s="156">
        <v>0</v>
      </c>
      <c r="M222" s="156">
        <v>0</v>
      </c>
      <c r="N222" s="156">
        <v>0.83529187474925259</v>
      </c>
      <c r="O222" s="156">
        <v>0</v>
      </c>
      <c r="P222" s="156">
        <v>1.8078769241751556</v>
      </c>
      <c r="Q222" s="156">
        <v>0.15323115777256155</v>
      </c>
      <c r="R222" s="156">
        <v>0</v>
      </c>
      <c r="S222" s="156">
        <v>8.6639841752499475E-2</v>
      </c>
      <c r="T222" s="156">
        <v>7.4357583725070793</v>
      </c>
      <c r="U222" s="156">
        <v>0</v>
      </c>
      <c r="V222" s="156">
        <v>0</v>
      </c>
      <c r="W222" s="164">
        <v>49.547696691670097</v>
      </c>
    </row>
    <row r="223" spans="1:23" ht="14.4" hidden="1" customHeight="1" outlineLevel="2">
      <c r="A223" s="363"/>
      <c r="B223" s="365"/>
      <c r="C223" s="151" t="str">
        <f t="shared" si="3"/>
        <v>Puits technologiques</v>
      </c>
      <c r="D223" s="270"/>
      <c r="E223" s="163" t="s">
        <v>223</v>
      </c>
      <c r="F223" s="156">
        <v>0</v>
      </c>
      <c r="G223" s="156">
        <v>0</v>
      </c>
      <c r="H223" s="156">
        <v>0</v>
      </c>
      <c r="I223" s="156">
        <v>0</v>
      </c>
      <c r="J223" s="156">
        <v>0</v>
      </c>
      <c r="K223" s="156">
        <v>0</v>
      </c>
      <c r="L223" s="156">
        <v>0</v>
      </c>
      <c r="M223" s="156">
        <v>0</v>
      </c>
      <c r="N223" s="156">
        <v>0</v>
      </c>
      <c r="O223" s="156">
        <v>0</v>
      </c>
      <c r="P223" s="156">
        <v>0</v>
      </c>
      <c r="Q223" s="156">
        <v>0</v>
      </c>
      <c r="R223" s="156">
        <v>0</v>
      </c>
      <c r="S223" s="156">
        <v>0</v>
      </c>
      <c r="T223" s="156">
        <v>0</v>
      </c>
      <c r="U223" s="156">
        <v>0</v>
      </c>
      <c r="V223" s="156">
        <v>0</v>
      </c>
      <c r="W223" s="164">
        <v>0</v>
      </c>
    </row>
    <row r="224" spans="1:23" ht="14.4" hidden="1" customHeight="1" outlineLevel="2">
      <c r="A224" s="363"/>
      <c r="B224" s="365"/>
      <c r="C224" s="151" t="str">
        <f t="shared" si="3"/>
        <v>Consommation finale énergétique</v>
      </c>
      <c r="D224" s="270"/>
      <c r="E224" s="159" t="s">
        <v>224</v>
      </c>
      <c r="F224" s="160">
        <v>6.3140673828124996</v>
      </c>
      <c r="G224" s="160">
        <v>0</v>
      </c>
      <c r="H224" s="160">
        <v>499.08150380755131</v>
      </c>
      <c r="I224" s="160">
        <v>2.9318383330974938E-2</v>
      </c>
      <c r="J224" s="160">
        <v>250.56757794635692</v>
      </c>
      <c r="K224" s="160">
        <v>0</v>
      </c>
      <c r="L224" s="160">
        <v>0</v>
      </c>
      <c r="M224" s="160">
        <v>0</v>
      </c>
      <c r="N224" s="160">
        <v>85.521921725916499</v>
      </c>
      <c r="O224" s="160">
        <v>1.6078262977011799</v>
      </c>
      <c r="P224" s="160">
        <v>38.980762651184541</v>
      </c>
      <c r="Q224" s="160">
        <v>16.624214932085486</v>
      </c>
      <c r="R224" s="160">
        <v>69.392827787307397</v>
      </c>
      <c r="S224" s="160">
        <v>3.5302531257188741</v>
      </c>
      <c r="T224" s="160">
        <v>437.37030073204738</v>
      </c>
      <c r="U224" s="160">
        <v>43.282066743920083</v>
      </c>
      <c r="V224" s="160">
        <v>0.11723184041808773</v>
      </c>
      <c r="W224" s="160">
        <v>1452.4198733563514</v>
      </c>
    </row>
    <row r="225" spans="1:23" ht="14.4" hidden="1" customHeight="1" outlineLevel="2">
      <c r="A225" s="363"/>
      <c r="B225" s="365"/>
      <c r="C225" s="151" t="str">
        <f t="shared" si="3"/>
        <v>Consommation finale non énergétique</v>
      </c>
      <c r="D225" s="270"/>
      <c r="E225" s="155" t="s">
        <v>225</v>
      </c>
      <c r="F225" s="156">
        <v>0</v>
      </c>
      <c r="G225" s="156">
        <v>0</v>
      </c>
      <c r="H225" s="156">
        <v>101.66929081798273</v>
      </c>
      <c r="I225" s="156">
        <v>0</v>
      </c>
      <c r="J225" s="156">
        <v>10.172466324285621</v>
      </c>
      <c r="K225" s="156">
        <v>0</v>
      </c>
      <c r="L225" s="156">
        <v>0</v>
      </c>
      <c r="M225" s="156">
        <v>0</v>
      </c>
      <c r="N225" s="156">
        <v>0</v>
      </c>
      <c r="O225" s="156">
        <v>0</v>
      </c>
      <c r="P225" s="156">
        <v>0</v>
      </c>
      <c r="Q225" s="156">
        <v>0</v>
      </c>
      <c r="R225" s="156">
        <v>0</v>
      </c>
      <c r="S225" s="156">
        <v>0</v>
      </c>
      <c r="T225" s="156">
        <v>0</v>
      </c>
      <c r="U225" s="156">
        <v>0</v>
      </c>
      <c r="V225" s="156">
        <v>0</v>
      </c>
      <c r="W225" s="164">
        <v>111.84175714226835</v>
      </c>
    </row>
    <row r="226" spans="1:23" ht="14.4" hidden="1" customHeight="1" outlineLevel="2">
      <c r="A226" s="363"/>
      <c r="B226" s="365"/>
      <c r="C226" s="151" t="str">
        <f t="shared" si="3"/>
        <v>Consommation finale</v>
      </c>
      <c r="D226" s="270"/>
      <c r="E226" s="159" t="s">
        <v>226</v>
      </c>
      <c r="F226" s="160">
        <v>6.3140673828124996</v>
      </c>
      <c r="G226" s="160">
        <v>0</v>
      </c>
      <c r="H226" s="160">
        <v>600.75079462553401</v>
      </c>
      <c r="I226" s="160">
        <v>2.9318383330974938E-2</v>
      </c>
      <c r="J226" s="160">
        <v>260.74004427064256</v>
      </c>
      <c r="K226" s="160">
        <v>0</v>
      </c>
      <c r="L226" s="160">
        <v>0</v>
      </c>
      <c r="M226" s="160">
        <v>0</v>
      </c>
      <c r="N226" s="160">
        <v>85.521921725916499</v>
      </c>
      <c r="O226" s="160">
        <v>1.6078262977011799</v>
      </c>
      <c r="P226" s="160">
        <v>38.980762651184541</v>
      </c>
      <c r="Q226" s="160">
        <v>16.624214932085486</v>
      </c>
      <c r="R226" s="160">
        <v>69.392827787307397</v>
      </c>
      <c r="S226" s="160">
        <v>3.5302531257188741</v>
      </c>
      <c r="T226" s="160">
        <v>437.37030073204738</v>
      </c>
      <c r="U226" s="160">
        <v>43.282066743920083</v>
      </c>
      <c r="V226" s="160">
        <v>0.11723184041808773</v>
      </c>
      <c r="W226" s="160">
        <v>1564.2616304986198</v>
      </c>
    </row>
    <row r="227" spans="1:23" outlineLevel="1" collapsed="1">
      <c r="A227" s="363"/>
      <c r="B227" s="365"/>
      <c r="C227" s="151" t="str">
        <f t="shared" si="3"/>
        <v/>
      </c>
      <c r="D227" s="269"/>
      <c r="E227" s="114"/>
      <c r="F227" s="169"/>
      <c r="G227" s="169"/>
      <c r="H227" s="169"/>
      <c r="I227" s="169"/>
      <c r="J227" s="169"/>
      <c r="K227" s="169"/>
      <c r="L227" s="169"/>
      <c r="M227" s="271"/>
      <c r="N227" s="169"/>
      <c r="O227" s="169"/>
      <c r="P227" s="169"/>
      <c r="Q227" s="169"/>
      <c r="R227" s="169"/>
      <c r="S227" s="169"/>
      <c r="T227" s="169"/>
      <c r="U227" s="169"/>
      <c r="V227" s="169"/>
      <c r="W227" s="169"/>
    </row>
    <row r="228" spans="1:23" ht="28.2" outlineLevel="1">
      <c r="A228" s="363"/>
      <c r="B228" s="365"/>
      <c r="C228" s="151">
        <f t="shared" si="3"/>
        <v>2030</v>
      </c>
      <c r="D228" s="269"/>
      <c r="E228" s="654">
        <v>2030</v>
      </c>
      <c r="F228" s="655"/>
      <c r="G228" s="655"/>
      <c r="H228" s="655"/>
      <c r="I228" s="655"/>
      <c r="J228" s="655"/>
      <c r="K228" s="655"/>
      <c r="L228" s="656"/>
      <c r="M228" s="272"/>
      <c r="N228" s="273"/>
      <c r="O228" s="273"/>
      <c r="P228" s="273"/>
      <c r="Q228" s="273"/>
      <c r="R228" s="273"/>
      <c r="S228" s="273"/>
      <c r="T228" s="273"/>
      <c r="U228" s="273"/>
      <c r="V228" s="273"/>
      <c r="W228" s="273"/>
    </row>
    <row r="229" spans="1:23" ht="14.4" hidden="1" customHeight="1" outlineLevel="2">
      <c r="A229" s="363"/>
      <c r="B229" s="365"/>
      <c r="C229" s="151" t="str">
        <f t="shared" si="3"/>
        <v>TWh</v>
      </c>
      <c r="D229" s="269"/>
      <c r="E229" s="662" t="s">
        <v>184</v>
      </c>
      <c r="F229" s="659" t="s">
        <v>185</v>
      </c>
      <c r="G229" s="659" t="s">
        <v>186</v>
      </c>
      <c r="H229" s="659" t="s">
        <v>187</v>
      </c>
      <c r="I229" s="657" t="s">
        <v>188</v>
      </c>
      <c r="J229" s="657" t="s">
        <v>189</v>
      </c>
      <c r="K229" s="657" t="s">
        <v>190</v>
      </c>
      <c r="L229" s="659" t="s">
        <v>191</v>
      </c>
      <c r="M229" s="659" t="s">
        <v>192</v>
      </c>
      <c r="N229" s="659" t="s">
        <v>193</v>
      </c>
      <c r="O229" s="660"/>
      <c r="P229" s="660"/>
      <c r="Q229" s="660"/>
      <c r="R229" s="660"/>
      <c r="S229" s="661"/>
      <c r="T229" s="657" t="s">
        <v>194</v>
      </c>
      <c r="U229" s="657" t="s">
        <v>195</v>
      </c>
      <c r="V229" s="657" t="s">
        <v>196</v>
      </c>
      <c r="W229" s="657" t="s">
        <v>144</v>
      </c>
    </row>
    <row r="230" spans="1:23" ht="36" hidden="1" customHeight="1" outlineLevel="2">
      <c r="A230" s="363"/>
      <c r="B230" s="365"/>
      <c r="C230" s="151" t="str">
        <f t="shared" si="3"/>
        <v/>
      </c>
      <c r="D230" s="270"/>
      <c r="E230" s="662"/>
      <c r="F230" s="659"/>
      <c r="G230" s="659"/>
      <c r="H230" s="659"/>
      <c r="I230" s="658"/>
      <c r="J230" s="658"/>
      <c r="K230" s="658"/>
      <c r="L230" s="659"/>
      <c r="M230" s="659"/>
      <c r="N230" s="153" t="s">
        <v>197</v>
      </c>
      <c r="O230" s="153" t="s">
        <v>24</v>
      </c>
      <c r="P230" s="153" t="s">
        <v>198</v>
      </c>
      <c r="Q230" s="153" t="s">
        <v>199</v>
      </c>
      <c r="R230" s="154" t="s">
        <v>200</v>
      </c>
      <c r="S230" s="153" t="s">
        <v>201</v>
      </c>
      <c r="T230" s="658"/>
      <c r="U230" s="658"/>
      <c r="V230" s="658"/>
      <c r="W230" s="658"/>
    </row>
    <row r="231" spans="1:23" ht="14.4" hidden="1" customHeight="1" outlineLevel="2">
      <c r="A231" s="363"/>
      <c r="B231" s="365"/>
      <c r="C231" s="151" t="str">
        <f t="shared" si="3"/>
        <v>Production d'énergie primaire</v>
      </c>
      <c r="D231" s="270"/>
      <c r="E231" s="155" t="s">
        <v>202</v>
      </c>
      <c r="F231" s="156">
        <v>0</v>
      </c>
      <c r="G231" s="156">
        <v>9.5366</v>
      </c>
      <c r="H231" s="156">
        <v>0</v>
      </c>
      <c r="I231" s="156">
        <v>0</v>
      </c>
      <c r="J231" s="156">
        <v>0.19771000000000002</v>
      </c>
      <c r="K231" s="156">
        <v>0</v>
      </c>
      <c r="L231" s="157">
        <v>1160.1425454545456</v>
      </c>
      <c r="M231" s="157">
        <v>202.36787732599598</v>
      </c>
      <c r="N231" s="165">
        <v>226.27735928442996</v>
      </c>
      <c r="O231" s="157">
        <v>39.772061110420132</v>
      </c>
      <c r="P231" s="156">
        <v>0.38714055536050906</v>
      </c>
      <c r="Q231" s="156">
        <v>0.13821427683195475</v>
      </c>
      <c r="R231" s="157">
        <v>75.848453520869981</v>
      </c>
      <c r="S231" s="157">
        <v>9.5284180405538415</v>
      </c>
      <c r="T231" s="156">
        <v>0</v>
      </c>
      <c r="U231" s="156">
        <v>0</v>
      </c>
      <c r="V231" s="156">
        <v>0</v>
      </c>
      <c r="W231" s="158">
        <v>1724.1963795690076</v>
      </c>
    </row>
    <row r="232" spans="1:23" ht="14.4" hidden="1" customHeight="1" outlineLevel="2">
      <c r="A232" s="363"/>
      <c r="B232" s="365"/>
      <c r="C232" s="151" t="str">
        <f t="shared" si="3"/>
        <v>Importations</v>
      </c>
      <c r="D232" s="270"/>
      <c r="E232" s="155" t="s">
        <v>203</v>
      </c>
      <c r="F232" s="156">
        <v>31.639467088723435</v>
      </c>
      <c r="G232" s="156">
        <v>487.47699638263873</v>
      </c>
      <c r="H232" s="156">
        <v>203.38236705975015</v>
      </c>
      <c r="I232" s="157">
        <v>0</v>
      </c>
      <c r="J232" s="157">
        <v>336.12255595260842</v>
      </c>
      <c r="K232" s="157">
        <v>0</v>
      </c>
      <c r="L232" s="156">
        <v>0</v>
      </c>
      <c r="M232" s="156">
        <v>0</v>
      </c>
      <c r="N232" s="156">
        <v>3.2163926187940457</v>
      </c>
      <c r="O232" s="156">
        <v>0</v>
      </c>
      <c r="P232" s="156">
        <v>4.6940731275512597</v>
      </c>
      <c r="Q232" s="156">
        <v>13.56037979708381</v>
      </c>
      <c r="R232" s="156">
        <v>0</v>
      </c>
      <c r="S232" s="156">
        <v>0</v>
      </c>
      <c r="T232" s="156">
        <v>0</v>
      </c>
      <c r="U232" s="156">
        <v>0</v>
      </c>
      <c r="V232" s="156">
        <v>0</v>
      </c>
      <c r="W232" s="158">
        <v>1080.0922320271497</v>
      </c>
    </row>
    <row r="233" spans="1:23" ht="14.4" hidden="1" customHeight="1" outlineLevel="2">
      <c r="A233" s="363"/>
      <c r="B233" s="365"/>
      <c r="C233" s="151" t="str">
        <f t="shared" si="3"/>
        <v>Exportations</v>
      </c>
      <c r="D233" s="270"/>
      <c r="E233" s="155" t="s">
        <v>204</v>
      </c>
      <c r="F233" s="156">
        <v>0</v>
      </c>
      <c r="G233" s="156">
        <v>0</v>
      </c>
      <c r="H233" s="156">
        <v>-1.297371615426461</v>
      </c>
      <c r="I233" s="157">
        <v>-0.48497879261270804</v>
      </c>
      <c r="J233" s="157">
        <v>0</v>
      </c>
      <c r="K233" s="157">
        <v>0</v>
      </c>
      <c r="L233" s="156">
        <v>0</v>
      </c>
      <c r="M233" s="156">
        <v>0</v>
      </c>
      <c r="N233" s="156">
        <v>-16.083121651774263</v>
      </c>
      <c r="O233" s="156">
        <v>0</v>
      </c>
      <c r="P233" s="156">
        <v>0</v>
      </c>
      <c r="Q233" s="156">
        <v>0</v>
      </c>
      <c r="R233" s="156">
        <v>0</v>
      </c>
      <c r="S233" s="156">
        <v>0</v>
      </c>
      <c r="T233" s="156">
        <v>-100.85429238222594</v>
      </c>
      <c r="U233" s="156">
        <v>0</v>
      </c>
      <c r="V233" s="156">
        <v>0</v>
      </c>
      <c r="W233" s="158">
        <v>-118.71976444203936</v>
      </c>
    </row>
    <row r="234" spans="1:23" ht="14.4" hidden="1" customHeight="1" outlineLevel="2">
      <c r="A234" s="363"/>
      <c r="B234" s="365"/>
      <c r="C234" s="151" t="str">
        <f t="shared" si="3"/>
        <v>Soutes maritimes internationales</v>
      </c>
      <c r="D234" s="270"/>
      <c r="E234" s="155" t="s">
        <v>205</v>
      </c>
      <c r="F234" s="156">
        <v>0</v>
      </c>
      <c r="G234" s="156">
        <v>0</v>
      </c>
      <c r="H234" s="156">
        <v>-12.474536194538631</v>
      </c>
      <c r="I234" s="156">
        <v>-1.5652659307043831E-2</v>
      </c>
      <c r="J234" s="156">
        <v>-2.1564769765478426</v>
      </c>
      <c r="K234" s="156">
        <v>-0.19613249261388557</v>
      </c>
      <c r="L234" s="156">
        <v>0</v>
      </c>
      <c r="M234" s="156">
        <v>0</v>
      </c>
      <c r="N234" s="156">
        <v>0</v>
      </c>
      <c r="O234" s="156">
        <v>0</v>
      </c>
      <c r="P234" s="156">
        <v>-0.73575531848073294</v>
      </c>
      <c r="Q234" s="156">
        <v>-0.63948816748889714</v>
      </c>
      <c r="R234" s="156">
        <v>0</v>
      </c>
      <c r="S234" s="156">
        <v>0</v>
      </c>
      <c r="T234" s="156">
        <v>0</v>
      </c>
      <c r="U234" s="156">
        <v>0</v>
      </c>
      <c r="V234" s="156">
        <v>-2.366237234624918E-2</v>
      </c>
      <c r="W234" s="158">
        <v>-16.241704181323282</v>
      </c>
    </row>
    <row r="235" spans="1:23" ht="14.4" hidden="1" customHeight="1" outlineLevel="2">
      <c r="A235" s="363"/>
      <c r="B235" s="365"/>
      <c r="C235" s="151" t="str">
        <f t="shared" si="3"/>
        <v>Soutes aériennes internationales</v>
      </c>
      <c r="D235" s="270"/>
      <c r="E235" s="155" t="s">
        <v>206</v>
      </c>
      <c r="F235" s="156">
        <v>0</v>
      </c>
      <c r="G235" s="156">
        <v>0</v>
      </c>
      <c r="H235" s="156">
        <v>-85.229290967202843</v>
      </c>
      <c r="I235" s="156">
        <v>-0.5630189134614052</v>
      </c>
      <c r="J235" s="156">
        <v>0</v>
      </c>
      <c r="K235" s="156">
        <v>0</v>
      </c>
      <c r="L235" s="156">
        <v>0</v>
      </c>
      <c r="M235" s="156">
        <v>0</v>
      </c>
      <c r="N235" s="156">
        <v>0</v>
      </c>
      <c r="O235" s="156">
        <v>0</v>
      </c>
      <c r="P235" s="156">
        <v>-4.268831555853752</v>
      </c>
      <c r="Q235" s="156">
        <v>0</v>
      </c>
      <c r="R235" s="156">
        <v>0</v>
      </c>
      <c r="S235" s="156">
        <v>0</v>
      </c>
      <c r="T235" s="156">
        <v>0</v>
      </c>
      <c r="U235" s="156">
        <v>0</v>
      </c>
      <c r="V235" s="156">
        <v>0</v>
      </c>
      <c r="W235" s="158">
        <v>-90.061141436518</v>
      </c>
    </row>
    <row r="236" spans="1:23" ht="14.4" hidden="1" customHeight="1" outlineLevel="2">
      <c r="A236" s="363"/>
      <c r="B236" s="365"/>
      <c r="C236" s="151" t="str">
        <f t="shared" si="3"/>
        <v>Variations de stocks (+ = déstockage, - = stockage)</v>
      </c>
      <c r="D236" s="270"/>
      <c r="E236" s="155" t="s">
        <v>207</v>
      </c>
      <c r="F236" s="156">
        <v>0</v>
      </c>
      <c r="G236" s="156">
        <v>0</v>
      </c>
      <c r="H236" s="156">
        <v>0</v>
      </c>
      <c r="I236" s="157">
        <v>0</v>
      </c>
      <c r="J236" s="157">
        <v>0</v>
      </c>
      <c r="K236" s="157">
        <v>0</v>
      </c>
      <c r="L236" s="156">
        <v>0</v>
      </c>
      <c r="M236" s="156">
        <v>0</v>
      </c>
      <c r="N236" s="156">
        <v>0</v>
      </c>
      <c r="O236" s="156">
        <v>0</v>
      </c>
      <c r="P236" s="156">
        <v>0</v>
      </c>
      <c r="Q236" s="156">
        <v>0</v>
      </c>
      <c r="R236" s="156">
        <v>0</v>
      </c>
      <c r="S236" s="156">
        <v>0</v>
      </c>
      <c r="T236" s="156">
        <v>0</v>
      </c>
      <c r="U236" s="156">
        <v>0</v>
      </c>
      <c r="V236" s="156">
        <v>0</v>
      </c>
      <c r="W236" s="158">
        <v>0</v>
      </c>
    </row>
    <row r="237" spans="1:23" ht="14.4" hidden="1" customHeight="1" outlineLevel="2">
      <c r="A237" s="363"/>
      <c r="B237" s="365"/>
      <c r="C237" s="151" t="str">
        <f t="shared" si="3"/>
        <v>Total approvisionnement / consommation primaire</v>
      </c>
      <c r="D237" s="270"/>
      <c r="E237" s="159" t="s">
        <v>208</v>
      </c>
      <c r="F237" s="160">
        <v>31.639467088723435</v>
      </c>
      <c r="G237" s="160">
        <v>497.01359638263875</v>
      </c>
      <c r="H237" s="160">
        <v>104.38116828258222</v>
      </c>
      <c r="I237" s="160">
        <v>-1.0636503653811571</v>
      </c>
      <c r="J237" s="160">
        <v>334.16378897606057</v>
      </c>
      <c r="K237" s="160">
        <v>-0.19613249261388557</v>
      </c>
      <c r="L237" s="160">
        <v>1160.1425454545456</v>
      </c>
      <c r="M237" s="160">
        <v>202.36787732599598</v>
      </c>
      <c r="N237" s="160">
        <v>213.41063025144976</v>
      </c>
      <c r="O237" s="160">
        <v>39.772061110420132</v>
      </c>
      <c r="P237" s="160">
        <v>7.6626808577284322E-2</v>
      </c>
      <c r="Q237" s="160">
        <v>13.059105906426867</v>
      </c>
      <c r="R237" s="160">
        <v>75.848453520869981</v>
      </c>
      <c r="S237" s="160">
        <v>9.5284180405538415</v>
      </c>
      <c r="T237" s="160">
        <v>-100.85429238222594</v>
      </c>
      <c r="U237" s="160">
        <v>0</v>
      </c>
      <c r="V237" s="160">
        <v>-2.366237234624918E-2</v>
      </c>
      <c r="W237" s="160">
        <v>2579.2660015362771</v>
      </c>
    </row>
    <row r="238" spans="1:23" ht="14.4" hidden="1" customHeight="1" outlineLevel="2">
      <c r="A238" s="363"/>
      <c r="B238" s="365"/>
      <c r="C238" s="151">
        <f t="shared" si="3"/>
        <v>0</v>
      </c>
      <c r="D238" s="270"/>
      <c r="E238" s="161"/>
      <c r="F238" s="162">
        <v>0</v>
      </c>
      <c r="G238" s="162">
        <v>0</v>
      </c>
      <c r="H238" s="162">
        <v>0</v>
      </c>
      <c r="I238" s="162"/>
      <c r="J238" s="162"/>
      <c r="K238" s="162"/>
      <c r="L238" s="162">
        <v>0</v>
      </c>
      <c r="M238" s="162">
        <v>0</v>
      </c>
      <c r="N238" s="162">
        <v>0</v>
      </c>
      <c r="O238" s="162">
        <v>0</v>
      </c>
      <c r="P238" s="162">
        <v>0</v>
      </c>
      <c r="Q238" s="162">
        <v>0</v>
      </c>
      <c r="R238" s="162">
        <v>0</v>
      </c>
      <c r="S238" s="162">
        <v>0</v>
      </c>
      <c r="T238" s="162">
        <v>0</v>
      </c>
      <c r="U238" s="162">
        <v>0</v>
      </c>
      <c r="V238" s="162">
        <v>0</v>
      </c>
      <c r="W238" s="162">
        <v>0</v>
      </c>
    </row>
    <row r="239" spans="1:23" ht="14.4" hidden="1" customHeight="1" outlineLevel="2">
      <c r="A239" s="363"/>
      <c r="B239" s="365"/>
      <c r="C239" s="151" t="str">
        <f t="shared" si="3"/>
        <v>Écart statistique</v>
      </c>
      <c r="D239" s="270"/>
      <c r="E239" s="163" t="s">
        <v>209</v>
      </c>
      <c r="F239" s="156">
        <v>0</v>
      </c>
      <c r="G239" s="156">
        <v>0</v>
      </c>
      <c r="H239" s="156">
        <v>0</v>
      </c>
      <c r="I239" s="156">
        <v>0</v>
      </c>
      <c r="J239" s="156">
        <v>0</v>
      </c>
      <c r="K239" s="156">
        <v>0</v>
      </c>
      <c r="L239" s="156">
        <v>0</v>
      </c>
      <c r="M239" s="156">
        <v>0</v>
      </c>
      <c r="N239" s="156">
        <v>0</v>
      </c>
      <c r="O239" s="156">
        <v>0</v>
      </c>
      <c r="P239" s="156">
        <v>0</v>
      </c>
      <c r="Q239" s="156">
        <v>0</v>
      </c>
      <c r="R239" s="156">
        <v>0</v>
      </c>
      <c r="S239" s="156">
        <v>0</v>
      </c>
      <c r="T239" s="156">
        <v>0</v>
      </c>
      <c r="U239" s="156">
        <v>0</v>
      </c>
      <c r="V239" s="156">
        <v>0</v>
      </c>
      <c r="W239" s="164">
        <v>0</v>
      </c>
    </row>
    <row r="240" spans="1:23" ht="14.4" hidden="1" customHeight="1" outlineLevel="2">
      <c r="A240" s="363"/>
      <c r="B240" s="365"/>
      <c r="C240" s="151" t="str">
        <f t="shared" si="3"/>
        <v>Production d'électricité</v>
      </c>
      <c r="D240" s="270"/>
      <c r="E240" s="163" t="s">
        <v>13</v>
      </c>
      <c r="F240" s="156">
        <v>0.65592916206991536</v>
      </c>
      <c r="G240" s="156">
        <v>0</v>
      </c>
      <c r="H240" s="156">
        <v>5.4668961248325392</v>
      </c>
      <c r="I240" s="156">
        <v>0</v>
      </c>
      <c r="J240" s="156">
        <v>48.872727272727268</v>
      </c>
      <c r="K240" s="156">
        <v>0</v>
      </c>
      <c r="L240" s="156">
        <v>1160.1425454545456</v>
      </c>
      <c r="M240" s="156">
        <v>202.36787732599598</v>
      </c>
      <c r="N240" s="156">
        <v>27.049394394387853</v>
      </c>
      <c r="O240" s="156">
        <v>7.6236287866725982</v>
      </c>
      <c r="P240" s="156">
        <v>2.2784833326561613</v>
      </c>
      <c r="Q240" s="156">
        <v>5.7790150512842127</v>
      </c>
      <c r="R240" s="156">
        <v>0</v>
      </c>
      <c r="S240" s="156">
        <v>3.229189720959583</v>
      </c>
      <c r="T240" s="156">
        <v>-631.88769432524145</v>
      </c>
      <c r="U240" s="156">
        <v>0</v>
      </c>
      <c r="V240" s="156">
        <v>0</v>
      </c>
      <c r="W240" s="164">
        <v>831.5779923008904</v>
      </c>
    </row>
    <row r="241" spans="1:23" ht="14.4" hidden="1" customHeight="1" outlineLevel="2">
      <c r="A241" s="363"/>
      <c r="B241" s="365"/>
      <c r="C241" s="151" t="str">
        <f t="shared" si="3"/>
        <v>Production de chaleur</v>
      </c>
      <c r="D241" s="270"/>
      <c r="E241" s="163" t="s">
        <v>210</v>
      </c>
      <c r="F241" s="156">
        <v>0</v>
      </c>
      <c r="G241" s="156">
        <v>0</v>
      </c>
      <c r="H241" s="156">
        <v>0</v>
      </c>
      <c r="I241" s="156">
        <v>0</v>
      </c>
      <c r="J241" s="156">
        <v>15.562326892874649</v>
      </c>
      <c r="K241" s="156">
        <v>0</v>
      </c>
      <c r="L241" s="156">
        <v>0</v>
      </c>
      <c r="M241" s="156">
        <v>0</v>
      </c>
      <c r="N241" s="156">
        <v>15.44109824090895</v>
      </c>
      <c r="O241" s="156">
        <v>14.474092367657779</v>
      </c>
      <c r="P241" s="156">
        <v>0</v>
      </c>
      <c r="Q241" s="156">
        <v>2.6736939682489744</v>
      </c>
      <c r="R241" s="156">
        <v>0</v>
      </c>
      <c r="S241" s="156">
        <v>2.6507850564197626</v>
      </c>
      <c r="T241" s="156">
        <v>0</v>
      </c>
      <c r="U241" s="156">
        <v>-46.039521366292732</v>
      </c>
      <c r="V241" s="156">
        <v>0</v>
      </c>
      <c r="W241" s="164">
        <v>4.7624751598173782</v>
      </c>
    </row>
    <row r="242" spans="1:23" ht="14.4" hidden="1" customHeight="1" outlineLevel="2">
      <c r="A242" s="363"/>
      <c r="B242" s="365"/>
      <c r="C242" s="151" t="str">
        <f t="shared" si="3"/>
        <v>Production de gaz renouvelable</v>
      </c>
      <c r="D242" s="270"/>
      <c r="E242" s="163" t="s">
        <v>211</v>
      </c>
      <c r="F242" s="156">
        <v>0</v>
      </c>
      <c r="G242" s="156">
        <v>0</v>
      </c>
      <c r="H242" s="156">
        <v>0</v>
      </c>
      <c r="I242" s="156">
        <v>0</v>
      </c>
      <c r="J242" s="156">
        <v>0</v>
      </c>
      <c r="K242" s="156">
        <v>0</v>
      </c>
      <c r="L242" s="156">
        <v>0</v>
      </c>
      <c r="M242" s="156">
        <v>0</v>
      </c>
      <c r="N242" s="156">
        <v>21.546961318681568</v>
      </c>
      <c r="O242" s="156">
        <v>8.7299673073392547</v>
      </c>
      <c r="P242" s="156">
        <v>0</v>
      </c>
      <c r="Q242" s="156">
        <v>-15.138464313010411</v>
      </c>
      <c r="R242" s="156">
        <v>0</v>
      </c>
      <c r="S242" s="156">
        <v>0</v>
      </c>
      <c r="T242" s="156">
        <v>0</v>
      </c>
      <c r="U242" s="156">
        <v>0</v>
      </c>
      <c r="V242" s="156">
        <v>0</v>
      </c>
      <c r="W242" s="164">
        <v>15.138464313010411</v>
      </c>
    </row>
    <row r="243" spans="1:23" ht="14.4" hidden="1" customHeight="1" outlineLevel="2">
      <c r="A243" s="363"/>
      <c r="B243" s="365"/>
      <c r="C243" s="151" t="str">
        <f t="shared" si="3"/>
        <v>Production de gaz de synthèse</v>
      </c>
      <c r="D243" s="270"/>
      <c r="E243" s="163" t="s">
        <v>212</v>
      </c>
      <c r="F243" s="156">
        <v>0</v>
      </c>
      <c r="G243" s="156">
        <v>0</v>
      </c>
      <c r="H243" s="156">
        <v>0</v>
      </c>
      <c r="I243" s="156">
        <v>0</v>
      </c>
      <c r="J243" s="156">
        <v>0</v>
      </c>
      <c r="K243" s="156">
        <v>-0.19613249261388557</v>
      </c>
      <c r="L243" s="156">
        <v>0</v>
      </c>
      <c r="M243" s="156">
        <v>0</v>
      </c>
      <c r="N243" s="156">
        <v>0</v>
      </c>
      <c r="O243" s="156">
        <v>0</v>
      </c>
      <c r="P243" s="156">
        <v>0</v>
      </c>
      <c r="Q243" s="156">
        <v>0</v>
      </c>
      <c r="R243" s="156">
        <v>0</v>
      </c>
      <c r="S243" s="156">
        <v>0</v>
      </c>
      <c r="T243" s="156">
        <v>0</v>
      </c>
      <c r="U243" s="156">
        <v>0</v>
      </c>
      <c r="V243" s="156">
        <v>0</v>
      </c>
      <c r="W243" s="164">
        <v>-0.19613249261388557</v>
      </c>
    </row>
    <row r="244" spans="1:23" ht="14.4" hidden="1" customHeight="1" outlineLevel="2">
      <c r="A244" s="363"/>
      <c r="B244" s="365"/>
      <c r="C244" s="151" t="str">
        <f t="shared" si="3"/>
        <v>Raffinage de pétrole</v>
      </c>
      <c r="D244" s="270"/>
      <c r="E244" s="163" t="s">
        <v>213</v>
      </c>
      <c r="F244" s="156">
        <v>0</v>
      </c>
      <c r="G244" s="156">
        <v>515.08990112252275</v>
      </c>
      <c r="H244" s="156">
        <v>-509.96183502351744</v>
      </c>
      <c r="I244" s="156">
        <v>0</v>
      </c>
      <c r="J244" s="156">
        <v>0</v>
      </c>
      <c r="K244" s="156">
        <v>0</v>
      </c>
      <c r="L244" s="156">
        <v>0</v>
      </c>
      <c r="M244" s="156">
        <v>0</v>
      </c>
      <c r="N244" s="156">
        <v>0</v>
      </c>
      <c r="O244" s="156">
        <v>0</v>
      </c>
      <c r="P244" s="156">
        <v>0</v>
      </c>
      <c r="Q244" s="156">
        <v>0</v>
      </c>
      <c r="R244" s="156">
        <v>0</v>
      </c>
      <c r="S244" s="156">
        <v>0</v>
      </c>
      <c r="T244" s="156">
        <v>0</v>
      </c>
      <c r="U244" s="156">
        <v>0</v>
      </c>
      <c r="V244" s="156">
        <v>0</v>
      </c>
      <c r="W244" s="164">
        <v>5.1280660990052862</v>
      </c>
    </row>
    <row r="245" spans="1:23" ht="14.4" hidden="1" customHeight="1" outlineLevel="2">
      <c r="A245" s="363"/>
      <c r="B245" s="365"/>
      <c r="C245" s="151" t="str">
        <f t="shared" si="3"/>
        <v>Production de biocarburants</v>
      </c>
      <c r="D245" s="270"/>
      <c r="E245" s="163" t="s">
        <v>214</v>
      </c>
      <c r="F245" s="156">
        <v>0</v>
      </c>
      <c r="G245" s="156">
        <v>0</v>
      </c>
      <c r="H245" s="156">
        <v>0</v>
      </c>
      <c r="I245" s="156">
        <v>0</v>
      </c>
      <c r="J245" s="156">
        <v>0</v>
      </c>
      <c r="K245" s="156">
        <v>0</v>
      </c>
      <c r="L245" s="156">
        <v>0</v>
      </c>
      <c r="M245" s="156">
        <v>0</v>
      </c>
      <c r="N245" s="156">
        <v>64.43763561630935</v>
      </c>
      <c r="O245" s="156">
        <v>7.2727272727272725</v>
      </c>
      <c r="P245" s="156">
        <v>-39.440699588970148</v>
      </c>
      <c r="Q245" s="156">
        <v>0</v>
      </c>
      <c r="R245" s="156">
        <v>0</v>
      </c>
      <c r="S245" s="156">
        <v>0</v>
      </c>
      <c r="T245" s="156">
        <v>0</v>
      </c>
      <c r="U245" s="156">
        <v>0</v>
      </c>
      <c r="V245" s="156">
        <v>0</v>
      </c>
      <c r="W245" s="164">
        <v>32.269663300066469</v>
      </c>
    </row>
    <row r="246" spans="1:23" ht="14.4" hidden="1" customHeight="1" outlineLevel="2">
      <c r="A246" s="363"/>
      <c r="B246" s="365"/>
      <c r="C246" s="151" t="str">
        <f t="shared" si="3"/>
        <v>Production d'e-fuels</v>
      </c>
      <c r="D246" s="270"/>
      <c r="E246" s="163" t="s">
        <v>215</v>
      </c>
      <c r="F246" s="156">
        <v>0</v>
      </c>
      <c r="G246" s="156">
        <v>0</v>
      </c>
      <c r="H246" s="156">
        <v>0</v>
      </c>
      <c r="I246" s="156">
        <v>-1.1125143375994486</v>
      </c>
      <c r="J246" s="156">
        <v>0</v>
      </c>
      <c r="K246" s="156">
        <v>0</v>
      </c>
      <c r="L246" s="156">
        <v>0</v>
      </c>
      <c r="M246" s="156">
        <v>0</v>
      </c>
      <c r="N246" s="156">
        <v>0</v>
      </c>
      <c r="O246" s="156">
        <v>0</v>
      </c>
      <c r="P246" s="156">
        <v>0</v>
      </c>
      <c r="Q246" s="156">
        <v>0</v>
      </c>
      <c r="R246" s="156">
        <v>0</v>
      </c>
      <c r="S246" s="156">
        <v>0</v>
      </c>
      <c r="T246" s="156">
        <v>0</v>
      </c>
      <c r="U246" s="156">
        <v>0</v>
      </c>
      <c r="V246" s="156">
        <v>1.5494628657373937</v>
      </c>
      <c r="W246" s="164">
        <v>0.43694852813794505</v>
      </c>
    </row>
    <row r="247" spans="1:23" ht="14.4" hidden="1" customHeight="1" outlineLevel="2">
      <c r="A247" s="363"/>
      <c r="B247" s="365"/>
      <c r="C247" s="151" t="str">
        <f t="shared" si="3"/>
        <v>Production d'hydrogène</v>
      </c>
      <c r="D247" s="270"/>
      <c r="E247" s="163" t="s">
        <v>216</v>
      </c>
      <c r="F247" s="156">
        <v>0</v>
      </c>
      <c r="G247" s="156">
        <v>0</v>
      </c>
      <c r="H247" s="156">
        <v>0</v>
      </c>
      <c r="I247" s="156">
        <v>0</v>
      </c>
      <c r="J247" s="156">
        <v>3.202964706398634</v>
      </c>
      <c r="K247" s="156">
        <v>0</v>
      </c>
      <c r="L247" s="156">
        <v>0</v>
      </c>
      <c r="M247" s="156">
        <v>0</v>
      </c>
      <c r="N247" s="156">
        <v>0</v>
      </c>
      <c r="O247" s="156">
        <v>6.8927625869616663E-2</v>
      </c>
      <c r="P247" s="156">
        <v>0</v>
      </c>
      <c r="Q247" s="156">
        <v>0.24341658708219885</v>
      </c>
      <c r="R247" s="156">
        <v>0</v>
      </c>
      <c r="S247" s="156">
        <v>0</v>
      </c>
      <c r="T247" s="156">
        <v>3.6372577958890013</v>
      </c>
      <c r="U247" s="156">
        <v>0</v>
      </c>
      <c r="V247" s="156">
        <v>-4.8249338108731656</v>
      </c>
      <c r="W247" s="164">
        <v>2.3276329043662844</v>
      </c>
    </row>
    <row r="248" spans="1:23" ht="14.4" hidden="1" customHeight="1" outlineLevel="2">
      <c r="A248" s="363"/>
      <c r="B248" s="365"/>
      <c r="C248" s="151" t="str">
        <f t="shared" si="3"/>
        <v>Autres transformations, transferts</v>
      </c>
      <c r="D248" s="270"/>
      <c r="E248" s="163" t="s">
        <v>217</v>
      </c>
      <c r="F248" s="156">
        <v>18.409481015624998</v>
      </c>
      <c r="G248" s="156">
        <v>-18.07630473988398</v>
      </c>
      <c r="H248" s="156">
        <v>23.745738766107742</v>
      </c>
      <c r="I248" s="156">
        <v>0</v>
      </c>
      <c r="J248" s="156">
        <v>0</v>
      </c>
      <c r="K248" s="156">
        <v>0</v>
      </c>
      <c r="L248" s="156">
        <v>0</v>
      </c>
      <c r="M248" s="156">
        <v>0</v>
      </c>
      <c r="N248" s="156">
        <v>0</v>
      </c>
      <c r="O248" s="156">
        <v>0</v>
      </c>
      <c r="P248" s="156">
        <v>0</v>
      </c>
      <c r="Q248" s="156">
        <v>0</v>
      </c>
      <c r="R248" s="156">
        <v>0</v>
      </c>
      <c r="S248" s="156">
        <v>0</v>
      </c>
      <c r="T248" s="156">
        <v>0</v>
      </c>
      <c r="U248" s="156">
        <v>0</v>
      </c>
      <c r="V248" s="156">
        <v>0</v>
      </c>
      <c r="W248" s="164">
        <v>24.078915041848759</v>
      </c>
    </row>
    <row r="249" spans="1:23" ht="14.4" hidden="1" customHeight="1" outlineLevel="2">
      <c r="A249" s="363"/>
      <c r="B249" s="365"/>
      <c r="C249" s="151" t="str">
        <f t="shared" si="3"/>
        <v>Usages internes de la branche énergie</v>
      </c>
      <c r="D249" s="270"/>
      <c r="E249" s="163" t="s">
        <v>218</v>
      </c>
      <c r="F249" s="156">
        <v>7.159242617187501</v>
      </c>
      <c r="G249" s="156">
        <v>0</v>
      </c>
      <c r="H249" s="156">
        <v>17.723598076001895</v>
      </c>
      <c r="I249" s="156">
        <v>0</v>
      </c>
      <c r="J249" s="156">
        <v>4.7022238448734877</v>
      </c>
      <c r="K249" s="156">
        <v>0</v>
      </c>
      <c r="L249" s="156">
        <v>0</v>
      </c>
      <c r="M249" s="156">
        <v>0</v>
      </c>
      <c r="N249" s="156">
        <v>0</v>
      </c>
      <c r="O249" s="156">
        <v>0</v>
      </c>
      <c r="P249" s="156">
        <v>0</v>
      </c>
      <c r="Q249" s="156">
        <v>0.35735619494309373</v>
      </c>
      <c r="R249" s="156">
        <v>0</v>
      </c>
      <c r="S249" s="156">
        <v>0</v>
      </c>
      <c r="T249" s="156">
        <v>36.399749051025218</v>
      </c>
      <c r="U249" s="156">
        <v>0</v>
      </c>
      <c r="V249" s="156">
        <v>0</v>
      </c>
      <c r="W249" s="164">
        <v>66.342169784031185</v>
      </c>
    </row>
    <row r="250" spans="1:23" ht="14.4" hidden="1" customHeight="1" outlineLevel="2">
      <c r="A250" s="363"/>
      <c r="B250" s="365"/>
      <c r="C250" s="151" t="str">
        <f t="shared" si="3"/>
        <v>Pertes de transport et de distribution</v>
      </c>
      <c r="D250" s="270"/>
      <c r="E250" s="163" t="s">
        <v>219</v>
      </c>
      <c r="F250" s="156">
        <v>0</v>
      </c>
      <c r="G250" s="156">
        <v>0</v>
      </c>
      <c r="H250" s="156">
        <v>0</v>
      </c>
      <c r="I250" s="156">
        <v>0</v>
      </c>
      <c r="J250" s="156">
        <v>3.0778236732036248</v>
      </c>
      <c r="K250" s="156">
        <v>0</v>
      </c>
      <c r="L250" s="156">
        <v>0</v>
      </c>
      <c r="M250" s="156">
        <v>0</v>
      </c>
      <c r="N250" s="156">
        <v>0</v>
      </c>
      <c r="O250" s="156">
        <v>0</v>
      </c>
      <c r="P250" s="156">
        <v>0</v>
      </c>
      <c r="Q250" s="156">
        <v>0.23390620966735695</v>
      </c>
      <c r="R250" s="156">
        <v>0</v>
      </c>
      <c r="S250" s="156">
        <v>0</v>
      </c>
      <c r="T250" s="156">
        <v>40.666361188641403</v>
      </c>
      <c r="U250" s="156">
        <v>3.5719524036112125</v>
      </c>
      <c r="V250" s="156">
        <v>0</v>
      </c>
      <c r="W250" s="164">
        <v>47.550043475123601</v>
      </c>
    </row>
    <row r="251" spans="1:23" ht="14.4" hidden="1" customHeight="1" outlineLevel="2">
      <c r="A251" s="363"/>
      <c r="B251" s="365"/>
      <c r="C251" s="151" t="str">
        <f t="shared" si="3"/>
        <v>Consommation nette de la branche énergie</v>
      </c>
      <c r="D251" s="270"/>
      <c r="E251" s="159" t="s">
        <v>220</v>
      </c>
      <c r="F251" s="160">
        <v>26.224652794882417</v>
      </c>
      <c r="G251" s="160">
        <v>497.01359638263875</v>
      </c>
      <c r="H251" s="160">
        <v>-463.02560205657522</v>
      </c>
      <c r="I251" s="160">
        <v>-1.1125143375994486</v>
      </c>
      <c r="J251" s="160">
        <v>75.418066390077655</v>
      </c>
      <c r="K251" s="160">
        <v>-0.19613249261388557</v>
      </c>
      <c r="L251" s="160">
        <v>1160.1425454545456</v>
      </c>
      <c r="M251" s="160">
        <v>202.36787732599598</v>
      </c>
      <c r="N251" s="160">
        <v>128.47508957028771</v>
      </c>
      <c r="O251" s="160">
        <v>38.169343360266524</v>
      </c>
      <c r="P251" s="160">
        <v>-37.16221625631399</v>
      </c>
      <c r="Q251" s="160">
        <v>-5.8510763017845759</v>
      </c>
      <c r="R251" s="160">
        <v>0</v>
      </c>
      <c r="S251" s="160">
        <v>5.8799747773793456</v>
      </c>
      <c r="T251" s="160">
        <v>-551.18432628968583</v>
      </c>
      <c r="U251" s="160">
        <v>-42.467568962681526</v>
      </c>
      <c r="V251" s="160">
        <v>-3.2754709451357717</v>
      </c>
      <c r="W251" s="160">
        <v>1029.4162384136839</v>
      </c>
    </row>
    <row r="252" spans="1:23" ht="14.4" hidden="1" customHeight="1" outlineLevel="2">
      <c r="A252" s="363"/>
      <c r="B252" s="365"/>
      <c r="C252" s="151">
        <f t="shared" si="3"/>
        <v>0</v>
      </c>
      <c r="D252" s="270"/>
      <c r="E252" s="161"/>
      <c r="F252" s="162">
        <v>0</v>
      </c>
      <c r="G252" s="162">
        <v>0</v>
      </c>
      <c r="H252" s="162">
        <v>0</v>
      </c>
      <c r="I252" s="162"/>
      <c r="J252" s="162"/>
      <c r="K252" s="162"/>
      <c r="L252" s="162">
        <v>0</v>
      </c>
      <c r="M252" s="162">
        <v>0</v>
      </c>
      <c r="N252" s="162">
        <v>0</v>
      </c>
      <c r="O252" s="162">
        <v>0</v>
      </c>
      <c r="P252" s="162">
        <v>0</v>
      </c>
      <c r="Q252" s="162">
        <v>0</v>
      </c>
      <c r="R252" s="162">
        <v>0</v>
      </c>
      <c r="S252" s="162">
        <v>0</v>
      </c>
      <c r="T252" s="162">
        <v>0</v>
      </c>
      <c r="U252" s="162">
        <v>0</v>
      </c>
      <c r="V252" s="162">
        <v>0</v>
      </c>
      <c r="W252" s="162">
        <v>0</v>
      </c>
    </row>
    <row r="253" spans="1:23" ht="14.4" hidden="1" customHeight="1" outlineLevel="2">
      <c r="A253" s="363"/>
      <c r="B253" s="365"/>
      <c r="C253" s="151" t="str">
        <f t="shared" si="3"/>
        <v>Industrie</v>
      </c>
      <c r="D253" s="270"/>
      <c r="E253" s="163" t="s">
        <v>0</v>
      </c>
      <c r="F253" s="156">
        <v>5.4148142938410189</v>
      </c>
      <c r="G253" s="156">
        <v>0</v>
      </c>
      <c r="H253" s="156">
        <v>23.952284760236214</v>
      </c>
      <c r="I253" s="156">
        <v>0</v>
      </c>
      <c r="J253" s="156">
        <v>100.47256775593144</v>
      </c>
      <c r="K253" s="156">
        <v>0</v>
      </c>
      <c r="L253" s="156">
        <v>0</v>
      </c>
      <c r="M253" s="156">
        <v>0</v>
      </c>
      <c r="N253" s="156">
        <v>21.227930062545383</v>
      </c>
      <c r="O253" s="156">
        <v>1.5793744995631382</v>
      </c>
      <c r="P253" s="156">
        <v>1.0889092453314444</v>
      </c>
      <c r="Q253" s="156">
        <v>7.6544121337796804</v>
      </c>
      <c r="R253" s="156">
        <v>1.078776240348816E-3</v>
      </c>
      <c r="S253" s="156">
        <v>3.8267455312152759E-4</v>
      </c>
      <c r="T253" s="156">
        <v>114.50150459729684</v>
      </c>
      <c r="U253" s="156">
        <v>19.106285469568391</v>
      </c>
      <c r="V253" s="156">
        <v>3.1200463867187498</v>
      </c>
      <c r="W253" s="164">
        <v>298.11959065560575</v>
      </c>
    </row>
    <row r="254" spans="1:23" ht="14.4" hidden="1" customHeight="1" outlineLevel="2">
      <c r="A254" s="363"/>
      <c r="B254" s="365"/>
      <c r="C254" s="151" t="str">
        <f t="shared" si="3"/>
        <v>Transport</v>
      </c>
      <c r="D254" s="270"/>
      <c r="E254" s="163" t="s">
        <v>1</v>
      </c>
      <c r="F254" s="156">
        <v>0</v>
      </c>
      <c r="G254" s="156">
        <v>0</v>
      </c>
      <c r="H254" s="156">
        <v>373.27492432959986</v>
      </c>
      <c r="I254" s="156">
        <v>4.8863972218291564E-2</v>
      </c>
      <c r="J254" s="156">
        <v>6.5770447517079518</v>
      </c>
      <c r="K254" s="156">
        <v>0</v>
      </c>
      <c r="L254" s="156">
        <v>0</v>
      </c>
      <c r="M254" s="156">
        <v>0</v>
      </c>
      <c r="N254" s="156">
        <v>0</v>
      </c>
      <c r="O254" s="156">
        <v>0</v>
      </c>
      <c r="P254" s="156">
        <v>34.377295395467783</v>
      </c>
      <c r="Q254" s="156">
        <v>0.49983747349740087</v>
      </c>
      <c r="R254" s="156">
        <v>0</v>
      </c>
      <c r="S254" s="156">
        <v>0</v>
      </c>
      <c r="T254" s="156">
        <v>28.976305201286692</v>
      </c>
      <c r="U254" s="156">
        <v>0</v>
      </c>
      <c r="V254" s="156">
        <v>0.13176218607077275</v>
      </c>
      <c r="W254" s="164">
        <v>443.88603330984876</v>
      </c>
    </row>
    <row r="255" spans="1:23" ht="14.4" hidden="1" customHeight="1" outlineLevel="2">
      <c r="A255" s="363"/>
      <c r="B255" s="365"/>
      <c r="C255" s="151" t="str">
        <f t="shared" si="3"/>
        <v>Résidentiel</v>
      </c>
      <c r="D255" s="270"/>
      <c r="E255" s="163" t="s">
        <v>221</v>
      </c>
      <c r="F255" s="156">
        <v>0</v>
      </c>
      <c r="G255" s="156">
        <v>0</v>
      </c>
      <c r="H255" s="156">
        <v>15.430024544556749</v>
      </c>
      <c r="I255" s="156">
        <v>0</v>
      </c>
      <c r="J255" s="156">
        <v>88.485108109692632</v>
      </c>
      <c r="K255" s="156" t="s">
        <v>227</v>
      </c>
      <c r="L255" s="156">
        <v>0</v>
      </c>
      <c r="M255" s="156">
        <v>0</v>
      </c>
      <c r="N255" s="156">
        <v>62.526172225314767</v>
      </c>
      <c r="O255" s="156">
        <v>0</v>
      </c>
      <c r="P255" s="156">
        <v>0</v>
      </c>
      <c r="Q255" s="156">
        <v>6.7246270246538611</v>
      </c>
      <c r="R255" s="156">
        <v>57.700438525603467</v>
      </c>
      <c r="S255" s="156">
        <v>2.2592071941864917</v>
      </c>
      <c r="T255" s="156">
        <v>161.54444183098084</v>
      </c>
      <c r="U255" s="156">
        <v>13.821854221077654</v>
      </c>
      <c r="V255" s="156">
        <v>0</v>
      </c>
      <c r="W255" s="164">
        <v>408.49187367606646</v>
      </c>
    </row>
    <row r="256" spans="1:23" ht="14.4" hidden="1" customHeight="1" outlineLevel="2">
      <c r="A256" s="363"/>
      <c r="B256" s="365"/>
      <c r="C256" s="151" t="str">
        <f t="shared" si="3"/>
        <v>Tertiaire</v>
      </c>
      <c r="D256" s="270"/>
      <c r="E256" s="163" t="s">
        <v>222</v>
      </c>
      <c r="F256" s="156">
        <v>0</v>
      </c>
      <c r="G256" s="156">
        <v>0</v>
      </c>
      <c r="H256" s="156">
        <v>19.024644981648489</v>
      </c>
      <c r="I256" s="156">
        <v>0</v>
      </c>
      <c r="J256" s="156">
        <v>50.839182133143737</v>
      </c>
      <c r="K256" s="156" t="s">
        <v>227</v>
      </c>
      <c r="L256" s="156">
        <v>0</v>
      </c>
      <c r="M256" s="156">
        <v>0</v>
      </c>
      <c r="N256" s="156">
        <v>0.23724512306614243</v>
      </c>
      <c r="O256" s="156">
        <v>2.334325059046926E-2</v>
      </c>
      <c r="P256" s="156">
        <v>0</v>
      </c>
      <c r="Q256" s="156">
        <v>3.8636392652651268</v>
      </c>
      <c r="R256" s="156">
        <v>18.146936219026159</v>
      </c>
      <c r="S256" s="156">
        <v>1.3045881061331464</v>
      </c>
      <c r="T256" s="156">
        <v>138.0161443796884</v>
      </c>
      <c r="U256" s="156">
        <v>9.5394292720354823</v>
      </c>
      <c r="V256" s="156">
        <v>0</v>
      </c>
      <c r="W256" s="164">
        <v>240.99515273059717</v>
      </c>
    </row>
    <row r="257" spans="1:23" ht="14.4" hidden="1" customHeight="1" outlineLevel="2">
      <c r="A257" s="363"/>
      <c r="B257" s="365"/>
      <c r="C257" s="151" t="str">
        <f t="shared" si="3"/>
        <v>Agriculture</v>
      </c>
      <c r="D257" s="270"/>
      <c r="E257" s="163" t="s">
        <v>118</v>
      </c>
      <c r="F257" s="156">
        <v>0</v>
      </c>
      <c r="G257" s="156">
        <v>0</v>
      </c>
      <c r="H257" s="156">
        <v>36.258400977148646</v>
      </c>
      <c r="I257" s="156">
        <v>0</v>
      </c>
      <c r="J257" s="156">
        <v>2.2062147985542233</v>
      </c>
      <c r="K257" s="156">
        <v>0</v>
      </c>
      <c r="L257" s="156">
        <v>0</v>
      </c>
      <c r="M257" s="156">
        <v>0</v>
      </c>
      <c r="N257" s="156">
        <v>0.94419327023575583</v>
      </c>
      <c r="O257" s="156">
        <v>0</v>
      </c>
      <c r="P257" s="156">
        <v>1.7726384240920439</v>
      </c>
      <c r="Q257" s="156">
        <v>0.16766631101537727</v>
      </c>
      <c r="R257" s="156">
        <v>0</v>
      </c>
      <c r="S257" s="156">
        <v>8.4265288301735436E-2</v>
      </c>
      <c r="T257" s="156">
        <v>7.2916378982071253</v>
      </c>
      <c r="U257" s="156">
        <v>0</v>
      </c>
      <c r="V257" s="156">
        <v>0</v>
      </c>
      <c r="W257" s="164">
        <v>48.725016967554907</v>
      </c>
    </row>
    <row r="258" spans="1:23" ht="14.4" hidden="1" customHeight="1" outlineLevel="2">
      <c r="A258" s="363"/>
      <c r="B258" s="365"/>
      <c r="C258" s="151" t="str">
        <f t="shared" si="3"/>
        <v>Puits technologiques</v>
      </c>
      <c r="D258" s="270"/>
      <c r="E258" s="163" t="s">
        <v>223</v>
      </c>
      <c r="F258" s="156">
        <v>0</v>
      </c>
      <c r="G258" s="156">
        <v>0</v>
      </c>
      <c r="H258" s="156">
        <v>0</v>
      </c>
      <c r="I258" s="156">
        <v>0</v>
      </c>
      <c r="J258" s="156">
        <v>0</v>
      </c>
      <c r="K258" s="156">
        <v>0</v>
      </c>
      <c r="L258" s="156">
        <v>0</v>
      </c>
      <c r="M258" s="156">
        <v>0</v>
      </c>
      <c r="N258" s="156">
        <v>0</v>
      </c>
      <c r="O258" s="156">
        <v>0</v>
      </c>
      <c r="P258" s="156">
        <v>0</v>
      </c>
      <c r="Q258" s="156">
        <v>0</v>
      </c>
      <c r="R258" s="156">
        <v>0</v>
      </c>
      <c r="S258" s="156">
        <v>0</v>
      </c>
      <c r="T258" s="156">
        <v>0</v>
      </c>
      <c r="U258" s="156">
        <v>0</v>
      </c>
      <c r="V258" s="156">
        <v>0</v>
      </c>
      <c r="W258" s="164">
        <v>0</v>
      </c>
    </row>
    <row r="259" spans="1:23" ht="14.4" hidden="1" customHeight="1" outlineLevel="2">
      <c r="A259" s="363"/>
      <c r="B259" s="365"/>
      <c r="C259" s="151" t="str">
        <f t="shared" si="3"/>
        <v>Consommation finale énergétique</v>
      </c>
      <c r="D259" s="270"/>
      <c r="E259" s="159" t="s">
        <v>224</v>
      </c>
      <c r="F259" s="160">
        <v>5.4148142938410189</v>
      </c>
      <c r="G259" s="160">
        <v>0</v>
      </c>
      <c r="H259" s="160">
        <v>467.94027959318981</v>
      </c>
      <c r="I259" s="160">
        <v>4.8863972218291564E-2</v>
      </c>
      <c r="J259" s="160">
        <v>248.58011754902998</v>
      </c>
      <c r="K259" s="160">
        <v>0</v>
      </c>
      <c r="L259" s="160">
        <v>0</v>
      </c>
      <c r="M259" s="160">
        <v>0</v>
      </c>
      <c r="N259" s="160">
        <v>84.935540681162053</v>
      </c>
      <c r="O259" s="160">
        <v>1.6027177501536076</v>
      </c>
      <c r="P259" s="160">
        <v>37.23884306489127</v>
      </c>
      <c r="Q259" s="160">
        <v>18.910182208211445</v>
      </c>
      <c r="R259" s="160">
        <v>75.848453520869981</v>
      </c>
      <c r="S259" s="160">
        <v>3.648443263174495</v>
      </c>
      <c r="T259" s="160">
        <v>450.33003390745995</v>
      </c>
      <c r="U259" s="160">
        <v>42.467568962681533</v>
      </c>
      <c r="V259" s="160">
        <v>3.2518085727895225</v>
      </c>
      <c r="W259" s="160">
        <v>1440.2176673396727</v>
      </c>
    </row>
    <row r="260" spans="1:23" ht="14.4" hidden="1" customHeight="1" outlineLevel="2">
      <c r="A260" s="363"/>
      <c r="B260" s="365"/>
      <c r="C260" s="151" t="str">
        <f t="shared" si="3"/>
        <v>Consommation finale non énergétique</v>
      </c>
      <c r="D260" s="270"/>
      <c r="E260" s="155" t="s">
        <v>225</v>
      </c>
      <c r="F260" s="156">
        <v>0</v>
      </c>
      <c r="G260" s="156">
        <v>0</v>
      </c>
      <c r="H260" s="156">
        <v>99.466490745967647</v>
      </c>
      <c r="I260" s="156">
        <v>0</v>
      </c>
      <c r="J260" s="156">
        <v>10.165605036953007</v>
      </c>
      <c r="K260" s="156">
        <v>0</v>
      </c>
      <c r="L260" s="156">
        <v>0</v>
      </c>
      <c r="M260" s="156">
        <v>0</v>
      </c>
      <c r="N260" s="156">
        <v>0</v>
      </c>
      <c r="O260" s="156">
        <v>0</v>
      </c>
      <c r="P260" s="156">
        <v>0</v>
      </c>
      <c r="Q260" s="156">
        <v>0</v>
      </c>
      <c r="R260" s="156">
        <v>0</v>
      </c>
      <c r="S260" s="156">
        <v>0</v>
      </c>
      <c r="T260" s="156">
        <v>0</v>
      </c>
      <c r="U260" s="156">
        <v>0</v>
      </c>
      <c r="V260" s="156">
        <v>0</v>
      </c>
      <c r="W260" s="164">
        <v>109.63209578292066</v>
      </c>
    </row>
    <row r="261" spans="1:23" ht="14.4" hidden="1" customHeight="1" outlineLevel="2">
      <c r="A261" s="363"/>
      <c r="B261" s="365"/>
      <c r="C261" s="151" t="str">
        <f t="shared" si="3"/>
        <v>Consommation finale</v>
      </c>
      <c r="D261" s="270"/>
      <c r="E261" s="159" t="s">
        <v>226</v>
      </c>
      <c r="F261" s="160">
        <v>5.4148142938410189</v>
      </c>
      <c r="G261" s="160">
        <v>0</v>
      </c>
      <c r="H261" s="160">
        <v>567.40677033915756</v>
      </c>
      <c r="I261" s="160">
        <v>4.8863972218291564E-2</v>
      </c>
      <c r="J261" s="160">
        <v>258.745722585983</v>
      </c>
      <c r="K261" s="160">
        <v>0</v>
      </c>
      <c r="L261" s="160">
        <v>0</v>
      </c>
      <c r="M261" s="160">
        <v>0</v>
      </c>
      <c r="N261" s="160">
        <v>84.935540681162053</v>
      </c>
      <c r="O261" s="160">
        <v>1.6027177501536076</v>
      </c>
      <c r="P261" s="160">
        <v>37.23884306489127</v>
      </c>
      <c r="Q261" s="160">
        <v>18.910182208211445</v>
      </c>
      <c r="R261" s="160">
        <v>75.848453520869981</v>
      </c>
      <c r="S261" s="160">
        <v>3.648443263174495</v>
      </c>
      <c r="T261" s="160">
        <v>450.33003390745995</v>
      </c>
      <c r="U261" s="160">
        <v>42.467568962681533</v>
      </c>
      <c r="V261" s="160">
        <v>3.2518085727895225</v>
      </c>
      <c r="W261" s="160">
        <v>1549.8497631225935</v>
      </c>
    </row>
    <row r="262" spans="1:23" outlineLevel="1" collapsed="1">
      <c r="A262" s="363"/>
      <c r="B262" s="365"/>
      <c r="C262" s="151" t="str">
        <f t="shared" si="3"/>
        <v/>
      </c>
      <c r="D262" s="269"/>
      <c r="E262" s="114"/>
      <c r="F262" s="169"/>
      <c r="G262" s="169"/>
      <c r="H262" s="169"/>
      <c r="I262" s="169"/>
      <c r="J262" s="169"/>
      <c r="K262" s="169"/>
      <c r="L262" s="169"/>
      <c r="M262" s="271"/>
      <c r="N262" s="169"/>
      <c r="O262" s="169"/>
      <c r="P262" s="169"/>
      <c r="Q262" s="169"/>
      <c r="R262" s="169"/>
      <c r="S262" s="169"/>
      <c r="T262" s="169"/>
      <c r="U262" s="169"/>
      <c r="V262" s="169"/>
      <c r="W262" s="169"/>
    </row>
    <row r="263" spans="1:23" ht="28.2" outlineLevel="1">
      <c r="A263" s="363"/>
      <c r="B263" s="365"/>
      <c r="C263" s="151">
        <f t="shared" ref="C263:C326" si="4">IF(ISBLANK(E263),IF(ISBLANK(F263),"",F263),E263)</f>
        <v>2033</v>
      </c>
      <c r="D263" s="269"/>
      <c r="E263" s="654">
        <v>2033</v>
      </c>
      <c r="F263" s="655"/>
      <c r="G263" s="655"/>
      <c r="H263" s="655"/>
      <c r="I263" s="655"/>
      <c r="J263" s="655"/>
      <c r="K263" s="655"/>
      <c r="L263" s="656"/>
      <c r="M263" s="272"/>
      <c r="N263" s="273"/>
      <c r="O263" s="273"/>
      <c r="P263" s="273"/>
      <c r="Q263" s="273"/>
      <c r="R263" s="273"/>
      <c r="S263" s="273"/>
      <c r="T263" s="273"/>
      <c r="U263" s="273"/>
      <c r="V263" s="273"/>
      <c r="W263" s="273"/>
    </row>
    <row r="264" spans="1:23" ht="14.4" hidden="1" customHeight="1" outlineLevel="2">
      <c r="A264" s="363"/>
      <c r="B264" s="365"/>
      <c r="C264" s="151" t="str">
        <f t="shared" si="4"/>
        <v>TWh</v>
      </c>
      <c r="D264" s="269"/>
      <c r="E264" s="662" t="s">
        <v>184</v>
      </c>
      <c r="F264" s="659" t="s">
        <v>185</v>
      </c>
      <c r="G264" s="659" t="s">
        <v>186</v>
      </c>
      <c r="H264" s="659" t="s">
        <v>187</v>
      </c>
      <c r="I264" s="657" t="s">
        <v>188</v>
      </c>
      <c r="J264" s="657" t="s">
        <v>189</v>
      </c>
      <c r="K264" s="657" t="s">
        <v>190</v>
      </c>
      <c r="L264" s="659" t="s">
        <v>191</v>
      </c>
      <c r="M264" s="659" t="s">
        <v>192</v>
      </c>
      <c r="N264" s="659" t="s">
        <v>193</v>
      </c>
      <c r="O264" s="660"/>
      <c r="P264" s="660"/>
      <c r="Q264" s="660"/>
      <c r="R264" s="660"/>
      <c r="S264" s="661"/>
      <c r="T264" s="657" t="s">
        <v>194</v>
      </c>
      <c r="U264" s="657" t="s">
        <v>195</v>
      </c>
      <c r="V264" s="657" t="s">
        <v>196</v>
      </c>
      <c r="W264" s="657" t="s">
        <v>144</v>
      </c>
    </row>
    <row r="265" spans="1:23" ht="36" hidden="1" customHeight="1" outlineLevel="2">
      <c r="A265" s="363"/>
      <c r="B265" s="365"/>
      <c r="C265" s="151" t="str">
        <f t="shared" si="4"/>
        <v/>
      </c>
      <c r="D265" s="270"/>
      <c r="E265" s="662"/>
      <c r="F265" s="659"/>
      <c r="G265" s="659"/>
      <c r="H265" s="659"/>
      <c r="I265" s="658"/>
      <c r="J265" s="658"/>
      <c r="K265" s="658"/>
      <c r="L265" s="659"/>
      <c r="M265" s="659"/>
      <c r="N265" s="153" t="s">
        <v>197</v>
      </c>
      <c r="O265" s="153" t="s">
        <v>24</v>
      </c>
      <c r="P265" s="153" t="s">
        <v>198</v>
      </c>
      <c r="Q265" s="153" t="s">
        <v>199</v>
      </c>
      <c r="R265" s="154" t="s">
        <v>200</v>
      </c>
      <c r="S265" s="153" t="s">
        <v>201</v>
      </c>
      <c r="T265" s="658"/>
      <c r="U265" s="658"/>
      <c r="V265" s="658"/>
      <c r="W265" s="658"/>
    </row>
    <row r="266" spans="1:23" ht="14.4" hidden="1" customHeight="1" outlineLevel="2">
      <c r="A266" s="363"/>
      <c r="B266" s="365"/>
      <c r="C266" s="151" t="str">
        <f t="shared" si="4"/>
        <v>Production d'énergie primaire</v>
      </c>
      <c r="D266" s="270"/>
      <c r="E266" s="155" t="s">
        <v>202</v>
      </c>
      <c r="F266" s="156">
        <v>0</v>
      </c>
      <c r="G266" s="156">
        <v>6.6756200000000003</v>
      </c>
      <c r="H266" s="156">
        <v>0</v>
      </c>
      <c r="I266" s="156">
        <v>0</v>
      </c>
      <c r="J266" s="156">
        <v>0.13839700000000002</v>
      </c>
      <c r="K266" s="156">
        <v>0</v>
      </c>
      <c r="L266" s="157">
        <v>1149.9968727272726</v>
      </c>
      <c r="M266" s="157">
        <v>232.55108543458175</v>
      </c>
      <c r="N266" s="165">
        <v>227.56507276112148</v>
      </c>
      <c r="O266" s="157">
        <v>40.300149431298117</v>
      </c>
      <c r="P266" s="156">
        <v>0.47245470406797491</v>
      </c>
      <c r="Q266" s="156">
        <v>0.15401014210736899</v>
      </c>
      <c r="R266" s="157">
        <v>83.797134932884305</v>
      </c>
      <c r="S266" s="157">
        <v>9.5394311436759089</v>
      </c>
      <c r="T266" s="156">
        <v>0</v>
      </c>
      <c r="U266" s="156">
        <v>0</v>
      </c>
      <c r="V266" s="156">
        <v>0</v>
      </c>
      <c r="W266" s="158">
        <v>1751.1902282770095</v>
      </c>
    </row>
    <row r="267" spans="1:23" ht="14.4" hidden="1" customHeight="1" outlineLevel="2">
      <c r="A267" s="363"/>
      <c r="B267" s="365"/>
      <c r="C267" s="151" t="str">
        <f t="shared" si="4"/>
        <v>Importations</v>
      </c>
      <c r="D267" s="270"/>
      <c r="E267" s="155" t="s">
        <v>203</v>
      </c>
      <c r="F267" s="156">
        <v>31.866795987711065</v>
      </c>
      <c r="G267" s="156">
        <v>489.92989611302539</v>
      </c>
      <c r="H267" s="156">
        <v>139.31877886262632</v>
      </c>
      <c r="I267" s="157">
        <v>0</v>
      </c>
      <c r="J267" s="157">
        <v>336.2985830902594</v>
      </c>
      <c r="K267" s="157">
        <v>0</v>
      </c>
      <c r="L267" s="156">
        <v>0</v>
      </c>
      <c r="M267" s="156">
        <v>0</v>
      </c>
      <c r="N267" s="156">
        <v>3.8025202597067715</v>
      </c>
      <c r="O267" s="156">
        <v>0</v>
      </c>
      <c r="P267" s="156">
        <v>6.1486125635672018</v>
      </c>
      <c r="Q267" s="156">
        <v>11.837732189319098</v>
      </c>
      <c r="R267" s="156">
        <v>0</v>
      </c>
      <c r="S267" s="156">
        <v>0</v>
      </c>
      <c r="T267" s="156">
        <v>0</v>
      </c>
      <c r="U267" s="156">
        <v>0</v>
      </c>
      <c r="V267" s="156">
        <v>0</v>
      </c>
      <c r="W267" s="158">
        <v>1019.2029190662153</v>
      </c>
    </row>
    <row r="268" spans="1:23" ht="14.4" hidden="1" customHeight="1" outlineLevel="2">
      <c r="A268" s="363"/>
      <c r="B268" s="365"/>
      <c r="C268" s="151" t="str">
        <f t="shared" si="4"/>
        <v>Exportations</v>
      </c>
      <c r="D268" s="270"/>
      <c r="E268" s="155" t="s">
        <v>204</v>
      </c>
      <c r="F268" s="156">
        <v>0</v>
      </c>
      <c r="G268" s="156">
        <v>0</v>
      </c>
      <c r="H268" s="156">
        <v>-1.479138475817281</v>
      </c>
      <c r="I268" s="157">
        <v>-1.9132195979630802</v>
      </c>
      <c r="J268" s="157">
        <v>0</v>
      </c>
      <c r="K268" s="157">
        <v>0</v>
      </c>
      <c r="L268" s="156">
        <v>0</v>
      </c>
      <c r="M268" s="156">
        <v>0</v>
      </c>
      <c r="N268" s="156">
        <v>-18.111883243169245</v>
      </c>
      <c r="O268" s="156">
        <v>0</v>
      </c>
      <c r="P268" s="156">
        <v>0</v>
      </c>
      <c r="Q268" s="156">
        <v>0</v>
      </c>
      <c r="R268" s="156">
        <v>0</v>
      </c>
      <c r="S268" s="156">
        <v>0</v>
      </c>
      <c r="T268" s="156">
        <v>-94.825789068023369</v>
      </c>
      <c r="U268" s="156">
        <v>0</v>
      </c>
      <c r="V268" s="156">
        <v>0</v>
      </c>
      <c r="W268" s="158">
        <v>-116.33003038497297</v>
      </c>
    </row>
    <row r="269" spans="1:23" ht="14.4" hidden="1" customHeight="1" outlineLevel="2">
      <c r="A269" s="363"/>
      <c r="B269" s="365"/>
      <c r="C269" s="151" t="str">
        <f t="shared" si="4"/>
        <v>Soutes maritimes internationales</v>
      </c>
      <c r="D269" s="270"/>
      <c r="E269" s="155" t="s">
        <v>205</v>
      </c>
      <c r="F269" s="156">
        <v>0</v>
      </c>
      <c r="G269" s="156">
        <v>0</v>
      </c>
      <c r="H269" s="156">
        <v>-11.04845337211696</v>
      </c>
      <c r="I269" s="156">
        <v>-0.31861334963274829</v>
      </c>
      <c r="J269" s="156">
        <v>-1.9168438997953297</v>
      </c>
      <c r="K269" s="156">
        <v>-0.39869957567321956</v>
      </c>
      <c r="L269" s="156">
        <v>0</v>
      </c>
      <c r="M269" s="156">
        <v>0</v>
      </c>
      <c r="N269" s="156">
        <v>0</v>
      </c>
      <c r="O269" s="156">
        <v>0</v>
      </c>
      <c r="P269" s="156">
        <v>-0.8426340470474466</v>
      </c>
      <c r="Q269" s="156">
        <v>-0.77870426016518246</v>
      </c>
      <c r="R269" s="156">
        <v>0</v>
      </c>
      <c r="S269" s="156">
        <v>0</v>
      </c>
      <c r="T269" s="156">
        <v>0</v>
      </c>
      <c r="U269" s="156">
        <v>0</v>
      </c>
      <c r="V269" s="156">
        <v>-7.4546362072805294E-2</v>
      </c>
      <c r="W269" s="158">
        <v>-15.378494866503694</v>
      </c>
    </row>
    <row r="270" spans="1:23" ht="14.4" hidden="1" customHeight="1" outlineLevel="2">
      <c r="A270" s="363"/>
      <c r="B270" s="365"/>
      <c r="C270" s="151" t="str">
        <f t="shared" si="4"/>
        <v>Soutes aériennes internationales</v>
      </c>
      <c r="D270" s="270"/>
      <c r="E270" s="155" t="s">
        <v>206</v>
      </c>
      <c r="F270" s="156">
        <v>0</v>
      </c>
      <c r="G270" s="156">
        <v>0</v>
      </c>
      <c r="H270" s="156">
        <v>-75.650413223691459</v>
      </c>
      <c r="I270" s="156">
        <v>-2.5279402278259369</v>
      </c>
      <c r="J270" s="156">
        <v>0</v>
      </c>
      <c r="K270" s="156">
        <v>0</v>
      </c>
      <c r="L270" s="156">
        <v>0</v>
      </c>
      <c r="M270" s="156">
        <v>0</v>
      </c>
      <c r="N270" s="156">
        <v>0</v>
      </c>
      <c r="O270" s="156">
        <v>0</v>
      </c>
      <c r="P270" s="156">
        <v>-8.587192731569754</v>
      </c>
      <c r="Q270" s="156">
        <v>0</v>
      </c>
      <c r="R270" s="156">
        <v>0</v>
      </c>
      <c r="S270" s="156">
        <v>0</v>
      </c>
      <c r="T270" s="156">
        <v>0</v>
      </c>
      <c r="U270" s="156">
        <v>0</v>
      </c>
      <c r="V270" s="156">
        <v>-3.8370582821371471E-2</v>
      </c>
      <c r="W270" s="158">
        <v>-86.803916765908525</v>
      </c>
    </row>
    <row r="271" spans="1:23" ht="14.4" hidden="1" customHeight="1" outlineLevel="2">
      <c r="A271" s="363"/>
      <c r="B271" s="365"/>
      <c r="C271" s="151" t="str">
        <f t="shared" si="4"/>
        <v>Variations de stocks (+ = déstockage, - = stockage)</v>
      </c>
      <c r="D271" s="270"/>
      <c r="E271" s="155" t="s">
        <v>207</v>
      </c>
      <c r="F271" s="156">
        <v>0</v>
      </c>
      <c r="G271" s="156">
        <v>0</v>
      </c>
      <c r="H271" s="156">
        <v>0</v>
      </c>
      <c r="I271" s="157">
        <v>0</v>
      </c>
      <c r="J271" s="157">
        <v>0</v>
      </c>
      <c r="K271" s="157">
        <v>0</v>
      </c>
      <c r="L271" s="156">
        <v>0</v>
      </c>
      <c r="M271" s="156">
        <v>0</v>
      </c>
      <c r="N271" s="156">
        <v>0</v>
      </c>
      <c r="O271" s="156">
        <v>0</v>
      </c>
      <c r="P271" s="156">
        <v>0</v>
      </c>
      <c r="Q271" s="156">
        <v>0</v>
      </c>
      <c r="R271" s="156">
        <v>0</v>
      </c>
      <c r="S271" s="156">
        <v>0</v>
      </c>
      <c r="T271" s="156">
        <v>0</v>
      </c>
      <c r="U271" s="156">
        <v>0</v>
      </c>
      <c r="V271" s="156">
        <v>0</v>
      </c>
      <c r="W271" s="158">
        <v>0</v>
      </c>
    </row>
    <row r="272" spans="1:23" ht="14.4" hidden="1" customHeight="1" outlineLevel="2">
      <c r="A272" s="363"/>
      <c r="B272" s="365"/>
      <c r="C272" s="151" t="str">
        <f t="shared" si="4"/>
        <v>Total approvisionnement / consommation primaire</v>
      </c>
      <c r="D272" s="270"/>
      <c r="E272" s="159" t="s">
        <v>208</v>
      </c>
      <c r="F272" s="160">
        <v>31.866795987711065</v>
      </c>
      <c r="G272" s="160">
        <v>496.60551611302537</v>
      </c>
      <c r="H272" s="160">
        <v>51.140773791000605</v>
      </c>
      <c r="I272" s="160">
        <v>-4.7597731754217651</v>
      </c>
      <c r="J272" s="160">
        <v>334.52013619046409</v>
      </c>
      <c r="K272" s="160">
        <v>-0.39869957567321956</v>
      </c>
      <c r="L272" s="160">
        <v>1149.9968727272726</v>
      </c>
      <c r="M272" s="160">
        <v>232.55108543458175</v>
      </c>
      <c r="N272" s="160">
        <v>213.25570977765904</v>
      </c>
      <c r="O272" s="160">
        <v>40.300149431298117</v>
      </c>
      <c r="P272" s="160">
        <v>-2.8087595109820245</v>
      </c>
      <c r="Q272" s="160">
        <v>11.213038071261284</v>
      </c>
      <c r="R272" s="160">
        <v>83.797134932884305</v>
      </c>
      <c r="S272" s="160">
        <v>9.5394311436759089</v>
      </c>
      <c r="T272" s="160">
        <v>-94.825789068023369</v>
      </c>
      <c r="U272" s="160">
        <v>0</v>
      </c>
      <c r="V272" s="160">
        <v>-0.11291694489417677</v>
      </c>
      <c r="W272" s="160">
        <v>2551.8807053258397</v>
      </c>
    </row>
    <row r="273" spans="1:23" ht="14.4" hidden="1" customHeight="1" outlineLevel="2">
      <c r="A273" s="363"/>
      <c r="B273" s="365"/>
      <c r="C273" s="151">
        <f t="shared" si="4"/>
        <v>0</v>
      </c>
      <c r="D273" s="270"/>
      <c r="E273" s="161"/>
      <c r="F273" s="162">
        <v>0</v>
      </c>
      <c r="G273" s="162">
        <v>0</v>
      </c>
      <c r="H273" s="162">
        <v>0</v>
      </c>
      <c r="I273" s="162"/>
      <c r="J273" s="162"/>
      <c r="K273" s="162"/>
      <c r="L273" s="162">
        <v>0</v>
      </c>
      <c r="M273" s="162">
        <v>0</v>
      </c>
      <c r="N273" s="162">
        <v>0</v>
      </c>
      <c r="O273" s="162">
        <v>0</v>
      </c>
      <c r="P273" s="162">
        <v>0</v>
      </c>
      <c r="Q273" s="162">
        <v>0</v>
      </c>
      <c r="R273" s="162">
        <v>0</v>
      </c>
      <c r="S273" s="162">
        <v>0</v>
      </c>
      <c r="T273" s="162">
        <v>0</v>
      </c>
      <c r="U273" s="162">
        <v>0</v>
      </c>
      <c r="V273" s="162">
        <v>0</v>
      </c>
      <c r="W273" s="162">
        <v>0</v>
      </c>
    </row>
    <row r="274" spans="1:23" ht="14.4" hidden="1" customHeight="1" outlineLevel="2">
      <c r="A274" s="363"/>
      <c r="B274" s="365"/>
      <c r="C274" s="151" t="str">
        <f t="shared" si="4"/>
        <v>Écart statistique</v>
      </c>
      <c r="D274" s="270"/>
      <c r="E274" s="163" t="s">
        <v>209</v>
      </c>
      <c r="F274" s="156">
        <v>0</v>
      </c>
      <c r="G274" s="156">
        <v>0</v>
      </c>
      <c r="H274" s="156">
        <v>0</v>
      </c>
      <c r="I274" s="156">
        <v>0</v>
      </c>
      <c r="J274" s="156">
        <v>0</v>
      </c>
      <c r="K274" s="156">
        <v>0</v>
      </c>
      <c r="L274" s="156">
        <v>0</v>
      </c>
      <c r="M274" s="156">
        <v>0</v>
      </c>
      <c r="N274" s="156">
        <v>0</v>
      </c>
      <c r="O274" s="156">
        <v>0</v>
      </c>
      <c r="P274" s="156">
        <v>0</v>
      </c>
      <c r="Q274" s="156">
        <v>0</v>
      </c>
      <c r="R274" s="156">
        <v>0</v>
      </c>
      <c r="S274" s="156">
        <v>0</v>
      </c>
      <c r="T274" s="156">
        <v>0</v>
      </c>
      <c r="U274" s="156">
        <v>0</v>
      </c>
      <c r="V274" s="156">
        <v>0</v>
      </c>
      <c r="W274" s="164">
        <v>0</v>
      </c>
    </row>
    <row r="275" spans="1:23" ht="14.4" hidden="1" customHeight="1" outlineLevel="2">
      <c r="A275" s="363"/>
      <c r="B275" s="365"/>
      <c r="C275" s="151" t="str">
        <f t="shared" si="4"/>
        <v>Production d'électricité</v>
      </c>
      <c r="D275" s="270"/>
      <c r="E275" s="163" t="s">
        <v>13</v>
      </c>
      <c r="F275" s="156">
        <v>0.65592916206991536</v>
      </c>
      <c r="G275" s="156">
        <v>0</v>
      </c>
      <c r="H275" s="156">
        <v>5.9517082317978351</v>
      </c>
      <c r="I275" s="156">
        <v>0</v>
      </c>
      <c r="J275" s="156">
        <v>48.215246636771298</v>
      </c>
      <c r="K275" s="156">
        <v>0</v>
      </c>
      <c r="L275" s="156">
        <v>1149.9968727272726</v>
      </c>
      <c r="M275" s="156">
        <v>232.55108543458175</v>
      </c>
      <c r="N275" s="156">
        <v>26.809308951354744</v>
      </c>
      <c r="O275" s="156">
        <v>7.3087884574138675</v>
      </c>
      <c r="P275" s="156">
        <v>2.6720081217419396</v>
      </c>
      <c r="Q275" s="156">
        <v>5.7181537326397347</v>
      </c>
      <c r="R275" s="156">
        <v>0</v>
      </c>
      <c r="S275" s="156">
        <v>3.229189720959583</v>
      </c>
      <c r="T275" s="156">
        <v>-659.35457718909515</v>
      </c>
      <c r="U275" s="156">
        <v>0</v>
      </c>
      <c r="V275" s="156">
        <v>0</v>
      </c>
      <c r="W275" s="164">
        <v>823.75371398750826</v>
      </c>
    </row>
    <row r="276" spans="1:23" ht="14.4" hidden="1" customHeight="1" outlineLevel="2">
      <c r="A276" s="363"/>
      <c r="B276" s="365"/>
      <c r="C276" s="151" t="str">
        <f t="shared" si="4"/>
        <v>Production de chaleur</v>
      </c>
      <c r="D276" s="270"/>
      <c r="E276" s="163" t="s">
        <v>210</v>
      </c>
      <c r="F276" s="156">
        <v>0</v>
      </c>
      <c r="G276" s="156">
        <v>0</v>
      </c>
      <c r="H276" s="156">
        <v>0</v>
      </c>
      <c r="I276" s="156">
        <v>0</v>
      </c>
      <c r="J276" s="156">
        <v>15.271806449256937</v>
      </c>
      <c r="K276" s="156">
        <v>0</v>
      </c>
      <c r="L276" s="156">
        <v>0</v>
      </c>
      <c r="M276" s="156">
        <v>0</v>
      </c>
      <c r="N276" s="156">
        <v>15.065299840793374</v>
      </c>
      <c r="O276" s="156">
        <v>14.193758788038263</v>
      </c>
      <c r="P276" s="156">
        <v>0</v>
      </c>
      <c r="Q276" s="156">
        <v>2.6244279465430127</v>
      </c>
      <c r="R276" s="156">
        <v>0</v>
      </c>
      <c r="S276" s="156">
        <v>2.5969752819776262</v>
      </c>
      <c r="T276" s="156">
        <v>0</v>
      </c>
      <c r="U276" s="156">
        <v>-45.179648488495602</v>
      </c>
      <c r="V276" s="156">
        <v>0</v>
      </c>
      <c r="W276" s="164">
        <v>4.5726198181136102</v>
      </c>
    </row>
    <row r="277" spans="1:23" ht="14.4" hidden="1" customHeight="1" outlineLevel="2">
      <c r="A277" s="363"/>
      <c r="B277" s="365"/>
      <c r="C277" s="151" t="str">
        <f t="shared" si="4"/>
        <v>Production de gaz renouvelable</v>
      </c>
      <c r="D277" s="270"/>
      <c r="E277" s="163" t="s">
        <v>211</v>
      </c>
      <c r="F277" s="156">
        <v>0</v>
      </c>
      <c r="G277" s="156">
        <v>0</v>
      </c>
      <c r="H277" s="156">
        <v>0</v>
      </c>
      <c r="I277" s="156">
        <v>0</v>
      </c>
      <c r="J277" s="156">
        <v>0</v>
      </c>
      <c r="K277" s="156">
        <v>0</v>
      </c>
      <c r="L277" s="156">
        <v>0</v>
      </c>
      <c r="M277" s="156">
        <v>0</v>
      </c>
      <c r="N277" s="156">
        <v>24.01905382237949</v>
      </c>
      <c r="O277" s="156">
        <v>9.7934888735233638</v>
      </c>
      <c r="P277" s="156">
        <v>0</v>
      </c>
      <c r="Q277" s="156">
        <v>-16.906271347951428</v>
      </c>
      <c r="R277" s="156">
        <v>0</v>
      </c>
      <c r="S277" s="156">
        <v>0</v>
      </c>
      <c r="T277" s="156">
        <v>0</v>
      </c>
      <c r="U277" s="156">
        <v>0</v>
      </c>
      <c r="V277" s="156">
        <v>0</v>
      </c>
      <c r="W277" s="164">
        <v>16.906271347951428</v>
      </c>
    </row>
    <row r="278" spans="1:23" ht="14.4" hidden="1" customHeight="1" outlineLevel="2">
      <c r="A278" s="363"/>
      <c r="B278" s="365"/>
      <c r="C278" s="151" t="str">
        <f t="shared" si="4"/>
        <v>Production de gaz de synthèse</v>
      </c>
      <c r="D278" s="270"/>
      <c r="E278" s="163" t="s">
        <v>212</v>
      </c>
      <c r="F278" s="156">
        <v>0</v>
      </c>
      <c r="G278" s="156">
        <v>0</v>
      </c>
      <c r="H278" s="156">
        <v>0</v>
      </c>
      <c r="I278" s="156">
        <v>0</v>
      </c>
      <c r="J278" s="156">
        <v>0</v>
      </c>
      <c r="K278" s="156">
        <v>-0.39869957567321956</v>
      </c>
      <c r="L278" s="156">
        <v>0</v>
      </c>
      <c r="M278" s="156">
        <v>0</v>
      </c>
      <c r="N278" s="156">
        <v>0</v>
      </c>
      <c r="O278" s="156">
        <v>0</v>
      </c>
      <c r="P278" s="156">
        <v>0</v>
      </c>
      <c r="Q278" s="156">
        <v>0</v>
      </c>
      <c r="R278" s="156">
        <v>0</v>
      </c>
      <c r="S278" s="156">
        <v>0</v>
      </c>
      <c r="T278" s="156">
        <v>0</v>
      </c>
      <c r="U278" s="156">
        <v>0</v>
      </c>
      <c r="V278" s="156">
        <v>0</v>
      </c>
      <c r="W278" s="164">
        <v>-0.39869957567321956</v>
      </c>
    </row>
    <row r="279" spans="1:23" ht="14.4" hidden="1" customHeight="1" outlineLevel="2">
      <c r="A279" s="363"/>
      <c r="B279" s="365"/>
      <c r="C279" s="151" t="str">
        <f t="shared" si="4"/>
        <v>Raffinage de pétrole</v>
      </c>
      <c r="D279" s="270"/>
      <c r="E279" s="163" t="s">
        <v>213</v>
      </c>
      <c r="F279" s="156">
        <v>0</v>
      </c>
      <c r="G279" s="156">
        <v>514.64074128472203</v>
      </c>
      <c r="H279" s="156">
        <v>-509.51461640086245</v>
      </c>
      <c r="I279" s="156">
        <v>0</v>
      </c>
      <c r="J279" s="156">
        <v>0</v>
      </c>
      <c r="K279" s="156">
        <v>0</v>
      </c>
      <c r="L279" s="156">
        <v>0</v>
      </c>
      <c r="M279" s="156">
        <v>0</v>
      </c>
      <c r="N279" s="156">
        <v>0</v>
      </c>
      <c r="O279" s="156">
        <v>0</v>
      </c>
      <c r="P279" s="156">
        <v>0</v>
      </c>
      <c r="Q279" s="156">
        <v>0</v>
      </c>
      <c r="R279" s="156">
        <v>0</v>
      </c>
      <c r="S279" s="156">
        <v>0</v>
      </c>
      <c r="T279" s="156">
        <v>0</v>
      </c>
      <c r="U279" s="156">
        <v>0</v>
      </c>
      <c r="V279" s="156">
        <v>0</v>
      </c>
      <c r="W279" s="164">
        <v>5.1261248838595979</v>
      </c>
    </row>
    <row r="280" spans="1:23" ht="14.4" hidden="1" customHeight="1" outlineLevel="2">
      <c r="A280" s="363"/>
      <c r="B280" s="365"/>
      <c r="C280" s="151" t="str">
        <f t="shared" si="4"/>
        <v>Production de biocarburants</v>
      </c>
      <c r="D280" s="270"/>
      <c r="E280" s="163" t="s">
        <v>214</v>
      </c>
      <c r="F280" s="156">
        <v>0</v>
      </c>
      <c r="G280" s="156">
        <v>0</v>
      </c>
      <c r="H280" s="156">
        <v>0</v>
      </c>
      <c r="I280" s="156">
        <v>0</v>
      </c>
      <c r="J280" s="156">
        <v>0</v>
      </c>
      <c r="K280" s="156">
        <v>0</v>
      </c>
      <c r="L280" s="156">
        <v>0</v>
      </c>
      <c r="M280" s="156">
        <v>0</v>
      </c>
      <c r="N280" s="156">
        <v>63.761526108021613</v>
      </c>
      <c r="O280" s="156">
        <v>7.2727272727272725</v>
      </c>
      <c r="P280" s="156">
        <v>-39.068839359411889</v>
      </c>
      <c r="Q280" s="156">
        <v>0</v>
      </c>
      <c r="R280" s="156">
        <v>0</v>
      </c>
      <c r="S280" s="156">
        <v>0</v>
      </c>
      <c r="T280" s="156">
        <v>0</v>
      </c>
      <c r="U280" s="156">
        <v>0</v>
      </c>
      <c r="V280" s="156">
        <v>0</v>
      </c>
      <c r="W280" s="164">
        <v>31.96541402133699</v>
      </c>
    </row>
    <row r="281" spans="1:23" ht="14.4" hidden="1" customHeight="1" outlineLevel="2">
      <c r="A281" s="363"/>
      <c r="B281" s="365"/>
      <c r="C281" s="151" t="str">
        <f t="shared" si="4"/>
        <v>Production d'e-fuels</v>
      </c>
      <c r="D281" s="270"/>
      <c r="E281" s="163" t="s">
        <v>215</v>
      </c>
      <c r="F281" s="156">
        <v>0</v>
      </c>
      <c r="G281" s="156">
        <v>0</v>
      </c>
      <c r="H281" s="156">
        <v>0</v>
      </c>
      <c r="I281" s="156">
        <v>-4.9596287724351749</v>
      </c>
      <c r="J281" s="156">
        <v>0</v>
      </c>
      <c r="K281" s="156">
        <v>0</v>
      </c>
      <c r="L281" s="156">
        <v>0</v>
      </c>
      <c r="M281" s="156">
        <v>0</v>
      </c>
      <c r="N281" s="156">
        <v>0</v>
      </c>
      <c r="O281" s="156">
        <v>0</v>
      </c>
      <c r="P281" s="156">
        <v>0</v>
      </c>
      <c r="Q281" s="156">
        <v>0</v>
      </c>
      <c r="R281" s="156">
        <v>0</v>
      </c>
      <c r="S281" s="156">
        <v>0</v>
      </c>
      <c r="T281" s="156">
        <v>0</v>
      </c>
      <c r="U281" s="156">
        <v>0</v>
      </c>
      <c r="V281" s="156">
        <v>6.9075609643943956</v>
      </c>
      <c r="W281" s="164">
        <v>1.9479321919592207</v>
      </c>
    </row>
    <row r="282" spans="1:23" ht="14.4" hidden="1" customHeight="1" outlineLevel="2">
      <c r="A282" s="363"/>
      <c r="B282" s="365"/>
      <c r="C282" s="151" t="str">
        <f t="shared" si="4"/>
        <v>Production d'hydrogène</v>
      </c>
      <c r="D282" s="270"/>
      <c r="E282" s="163" t="s">
        <v>216</v>
      </c>
      <c r="F282" s="156">
        <v>0</v>
      </c>
      <c r="G282" s="156">
        <v>0</v>
      </c>
      <c r="H282" s="156">
        <v>0</v>
      </c>
      <c r="I282" s="156">
        <v>0</v>
      </c>
      <c r="J282" s="156">
        <v>7.3805223466141836</v>
      </c>
      <c r="K282" s="156">
        <v>0</v>
      </c>
      <c r="L282" s="156">
        <v>0</v>
      </c>
      <c r="M282" s="156">
        <v>0</v>
      </c>
      <c r="N282" s="156">
        <v>0</v>
      </c>
      <c r="O282" s="156">
        <v>0.15879562930728855</v>
      </c>
      <c r="P282" s="156">
        <v>0</v>
      </c>
      <c r="Q282" s="156">
        <v>0.55925911875024337</v>
      </c>
      <c r="R282" s="156">
        <v>0</v>
      </c>
      <c r="S282" s="156">
        <v>0</v>
      </c>
      <c r="T282" s="156">
        <v>8.2463135279939372</v>
      </c>
      <c r="U282" s="156">
        <v>0</v>
      </c>
      <c r="V282" s="156">
        <v>-11.115694051510197</v>
      </c>
      <c r="W282" s="164">
        <v>5.2291965711554553</v>
      </c>
    </row>
    <row r="283" spans="1:23" ht="14.4" hidden="1" customHeight="1" outlineLevel="2">
      <c r="A283" s="363"/>
      <c r="B283" s="365"/>
      <c r="C283" s="151" t="str">
        <f t="shared" si="4"/>
        <v>Autres transformations, transferts</v>
      </c>
      <c r="D283" s="270"/>
      <c r="E283" s="163" t="s">
        <v>217</v>
      </c>
      <c r="F283" s="156">
        <v>18.522018281249998</v>
      </c>
      <c r="G283" s="156">
        <v>-18.035225171696627</v>
      </c>
      <c r="H283" s="156">
        <v>23.704659197920389</v>
      </c>
      <c r="I283" s="156">
        <v>0</v>
      </c>
      <c r="J283" s="156">
        <v>0</v>
      </c>
      <c r="K283" s="156">
        <v>0</v>
      </c>
      <c r="L283" s="156">
        <v>0</v>
      </c>
      <c r="M283" s="156">
        <v>0</v>
      </c>
      <c r="N283" s="156">
        <v>0</v>
      </c>
      <c r="O283" s="156">
        <v>0</v>
      </c>
      <c r="P283" s="156">
        <v>0</v>
      </c>
      <c r="Q283" s="156">
        <v>0</v>
      </c>
      <c r="R283" s="156">
        <v>0</v>
      </c>
      <c r="S283" s="156">
        <v>0</v>
      </c>
      <c r="T283" s="156">
        <v>0</v>
      </c>
      <c r="U283" s="156">
        <v>0</v>
      </c>
      <c r="V283" s="156">
        <v>0</v>
      </c>
      <c r="W283" s="164">
        <v>24.19145230747376</v>
      </c>
    </row>
    <row r="284" spans="1:23" ht="14.4" hidden="1" customHeight="1" outlineLevel="2">
      <c r="A284" s="363"/>
      <c r="B284" s="365"/>
      <c r="C284" s="151" t="str">
        <f t="shared" si="4"/>
        <v>Usages internes de la branche énergie</v>
      </c>
      <c r="D284" s="270"/>
      <c r="E284" s="163" t="s">
        <v>218</v>
      </c>
      <c r="F284" s="156">
        <v>7.2030071093750001</v>
      </c>
      <c r="G284" s="156">
        <v>0</v>
      </c>
      <c r="H284" s="156">
        <v>17.684809652199071</v>
      </c>
      <c r="I284" s="156">
        <v>0</v>
      </c>
      <c r="J284" s="156">
        <v>4.7031953853197637</v>
      </c>
      <c r="K284" s="156">
        <v>0</v>
      </c>
      <c r="L284" s="156">
        <v>0</v>
      </c>
      <c r="M284" s="156">
        <v>0</v>
      </c>
      <c r="N284" s="156">
        <v>0</v>
      </c>
      <c r="O284" s="156">
        <v>0</v>
      </c>
      <c r="P284" s="156">
        <v>0</v>
      </c>
      <c r="Q284" s="156">
        <v>0.35638465449681828</v>
      </c>
      <c r="R284" s="156">
        <v>0</v>
      </c>
      <c r="S284" s="156">
        <v>0</v>
      </c>
      <c r="T284" s="156">
        <v>36.166822846646511</v>
      </c>
      <c r="U284" s="156">
        <v>0</v>
      </c>
      <c r="V284" s="156">
        <v>0</v>
      </c>
      <c r="W284" s="164">
        <v>66.114219648037164</v>
      </c>
    </row>
    <row r="285" spans="1:23" ht="14.4" hidden="1" customHeight="1" outlineLevel="2">
      <c r="A285" s="363"/>
      <c r="B285" s="365"/>
      <c r="C285" s="151" t="str">
        <f t="shared" si="4"/>
        <v>Pertes de transport et de distribution</v>
      </c>
      <c r="D285" s="270"/>
      <c r="E285" s="163" t="s">
        <v>219</v>
      </c>
      <c r="F285" s="156">
        <v>0</v>
      </c>
      <c r="G285" s="156">
        <v>0</v>
      </c>
      <c r="H285" s="156">
        <v>0</v>
      </c>
      <c r="I285" s="156">
        <v>0</v>
      </c>
      <c r="J285" s="156">
        <v>3.0918476646254396</v>
      </c>
      <c r="K285" s="156">
        <v>0</v>
      </c>
      <c r="L285" s="156">
        <v>0</v>
      </c>
      <c r="M285" s="156">
        <v>0</v>
      </c>
      <c r="N285" s="156">
        <v>0</v>
      </c>
      <c r="O285" s="156">
        <v>0</v>
      </c>
      <c r="P285" s="156">
        <v>0</v>
      </c>
      <c r="Q285" s="156">
        <v>0.2342847726789509</v>
      </c>
      <c r="R285" s="156">
        <v>0</v>
      </c>
      <c r="S285" s="156">
        <v>0</v>
      </c>
      <c r="T285" s="156">
        <v>43.225224104316787</v>
      </c>
      <c r="U285" s="156">
        <v>3.5054217039593945</v>
      </c>
      <c r="V285" s="156">
        <v>0</v>
      </c>
      <c r="W285" s="164">
        <v>50.056778245580567</v>
      </c>
    </row>
    <row r="286" spans="1:23" ht="14.4" hidden="1" customHeight="1" outlineLevel="2">
      <c r="A286" s="363"/>
      <c r="B286" s="365"/>
      <c r="C286" s="151" t="str">
        <f t="shared" si="4"/>
        <v>Consommation nette de la branche énergie</v>
      </c>
      <c r="D286" s="270"/>
      <c r="E286" s="159" t="s">
        <v>220</v>
      </c>
      <c r="F286" s="160">
        <v>26.380954552694917</v>
      </c>
      <c r="G286" s="160">
        <v>496.60551611302537</v>
      </c>
      <c r="H286" s="160">
        <v>-462.1734393189451</v>
      </c>
      <c r="I286" s="160">
        <v>-4.9596287724351749</v>
      </c>
      <c r="J286" s="160">
        <v>78.662618482587604</v>
      </c>
      <c r="K286" s="160">
        <v>-0.39869957567321956</v>
      </c>
      <c r="L286" s="160">
        <v>1149.9968727272726</v>
      </c>
      <c r="M286" s="160">
        <v>232.55108543458175</v>
      </c>
      <c r="N286" s="160">
        <v>129.65518872254921</v>
      </c>
      <c r="O286" s="160">
        <v>38.727559021010059</v>
      </c>
      <c r="P286" s="160">
        <v>-36.39683123766995</v>
      </c>
      <c r="Q286" s="160">
        <v>-7.4137611228426685</v>
      </c>
      <c r="R286" s="160">
        <v>0</v>
      </c>
      <c r="S286" s="160">
        <v>5.8261650029372092</v>
      </c>
      <c r="T286" s="160">
        <v>-571.71621671013793</v>
      </c>
      <c r="U286" s="160">
        <v>-41.674226784536209</v>
      </c>
      <c r="V286" s="160">
        <v>-4.2081330871158009</v>
      </c>
      <c r="W286" s="160">
        <v>1029.4650234473031</v>
      </c>
    </row>
    <row r="287" spans="1:23" ht="14.4" hidden="1" customHeight="1" outlineLevel="2">
      <c r="A287" s="363"/>
      <c r="B287" s="365"/>
      <c r="C287" s="151">
        <f t="shared" si="4"/>
        <v>0</v>
      </c>
      <c r="D287" s="270"/>
      <c r="E287" s="161"/>
      <c r="F287" s="162">
        <v>0</v>
      </c>
      <c r="G287" s="162">
        <v>0</v>
      </c>
      <c r="H287" s="162">
        <v>0</v>
      </c>
      <c r="I287" s="162"/>
      <c r="J287" s="162"/>
      <c r="K287" s="162"/>
      <c r="L287" s="162">
        <v>0</v>
      </c>
      <c r="M287" s="162">
        <v>0</v>
      </c>
      <c r="N287" s="162">
        <v>0</v>
      </c>
      <c r="O287" s="162">
        <v>0</v>
      </c>
      <c r="P287" s="162">
        <v>0</v>
      </c>
      <c r="Q287" s="162">
        <v>0</v>
      </c>
      <c r="R287" s="162">
        <v>0</v>
      </c>
      <c r="S287" s="162">
        <v>0</v>
      </c>
      <c r="T287" s="162">
        <v>0</v>
      </c>
      <c r="U287" s="162">
        <v>0</v>
      </c>
      <c r="V287" s="162">
        <v>0</v>
      </c>
      <c r="W287" s="162">
        <v>0</v>
      </c>
    </row>
    <row r="288" spans="1:23" ht="14.4" hidden="1" customHeight="1" outlineLevel="2">
      <c r="A288" s="363"/>
      <c r="B288" s="365"/>
      <c r="C288" s="151" t="str">
        <f t="shared" si="4"/>
        <v>Industrie</v>
      </c>
      <c r="D288" s="270"/>
      <c r="E288" s="163" t="s">
        <v>0</v>
      </c>
      <c r="F288" s="156">
        <v>5.48584143501615</v>
      </c>
      <c r="G288" s="156">
        <v>0</v>
      </c>
      <c r="H288" s="156">
        <v>23.283855332585524</v>
      </c>
      <c r="I288" s="156">
        <v>0</v>
      </c>
      <c r="J288" s="156">
        <v>100.56280391336541</v>
      </c>
      <c r="K288" s="156">
        <v>0</v>
      </c>
      <c r="L288" s="156">
        <v>0</v>
      </c>
      <c r="M288" s="156">
        <v>0</v>
      </c>
      <c r="N288" s="156">
        <v>21.881436657838464</v>
      </c>
      <c r="O288" s="156">
        <v>1.5492532879822247</v>
      </c>
      <c r="P288" s="156">
        <v>1.1080100416553218</v>
      </c>
      <c r="Q288" s="156">
        <v>7.6388588941953346</v>
      </c>
      <c r="R288" s="156">
        <v>1.0653884410858155E-3</v>
      </c>
      <c r="S288" s="156">
        <v>3.8147295409713902E-4</v>
      </c>
      <c r="T288" s="156">
        <v>116.89540109225976</v>
      </c>
      <c r="U288" s="156">
        <v>18.944661710113692</v>
      </c>
      <c r="V288" s="156">
        <v>3.7556594238281251</v>
      </c>
      <c r="W288" s="164">
        <v>301.10722865023524</v>
      </c>
    </row>
    <row r="289" spans="1:23" ht="14.4" hidden="1" customHeight="1" outlineLevel="2">
      <c r="A289" s="363"/>
      <c r="B289" s="365"/>
      <c r="C289" s="151" t="str">
        <f t="shared" si="4"/>
        <v>Transport</v>
      </c>
      <c r="D289" s="270"/>
      <c r="E289" s="163" t="s">
        <v>1</v>
      </c>
      <c r="F289" s="156">
        <v>0</v>
      </c>
      <c r="G289" s="156">
        <v>0</v>
      </c>
      <c r="H289" s="156">
        <v>328.62316260979014</v>
      </c>
      <c r="I289" s="156">
        <v>0.19985559701340974</v>
      </c>
      <c r="J289" s="156">
        <v>7.227875573658153</v>
      </c>
      <c r="K289" s="156">
        <v>0</v>
      </c>
      <c r="L289" s="156">
        <v>0</v>
      </c>
      <c r="M289" s="156">
        <v>0</v>
      </c>
      <c r="N289" s="156">
        <v>0</v>
      </c>
      <c r="O289" s="156">
        <v>0</v>
      </c>
      <c r="P289" s="156">
        <v>30.684561011612494</v>
      </c>
      <c r="Q289" s="156">
        <v>0.5476923087449026</v>
      </c>
      <c r="R289" s="156">
        <v>0</v>
      </c>
      <c r="S289" s="156">
        <v>0</v>
      </c>
      <c r="T289" s="156">
        <v>45.288402493472404</v>
      </c>
      <c r="U289" s="156">
        <v>0</v>
      </c>
      <c r="V289" s="156">
        <v>0.33955671839349799</v>
      </c>
      <c r="W289" s="164">
        <v>412.91110631268504</v>
      </c>
    </row>
    <row r="290" spans="1:23" ht="14.4" hidden="1" customHeight="1" outlineLevel="2">
      <c r="A290" s="363"/>
      <c r="B290" s="365"/>
      <c r="C290" s="151" t="str">
        <f t="shared" si="4"/>
        <v>Résidentiel</v>
      </c>
      <c r="D290" s="270"/>
      <c r="E290" s="163" t="s">
        <v>221</v>
      </c>
      <c r="F290" s="156">
        <v>0</v>
      </c>
      <c r="G290" s="156">
        <v>0</v>
      </c>
      <c r="H290" s="156">
        <v>9.8660161005948002</v>
      </c>
      <c r="I290" s="156">
        <v>0</v>
      </c>
      <c r="J290" s="156">
        <v>86.052509611733868</v>
      </c>
      <c r="K290" s="156" t="s">
        <v>227</v>
      </c>
      <c r="L290" s="156">
        <v>0</v>
      </c>
      <c r="M290" s="156">
        <v>0</v>
      </c>
      <c r="N290" s="156">
        <v>60.35725309492949</v>
      </c>
      <c r="O290" s="156">
        <v>0</v>
      </c>
      <c r="P290" s="156">
        <v>0</v>
      </c>
      <c r="Q290" s="156">
        <v>6.5206293581351709</v>
      </c>
      <c r="R290" s="156">
        <v>63.867079871031926</v>
      </c>
      <c r="S290" s="156">
        <v>2.3046901651922136</v>
      </c>
      <c r="T290" s="156">
        <v>164.88682382454428</v>
      </c>
      <c r="U290" s="156">
        <v>13.336523857222128</v>
      </c>
      <c r="V290" s="156">
        <v>0</v>
      </c>
      <c r="W290" s="164">
        <v>407.19152588338386</v>
      </c>
    </row>
    <row r="291" spans="1:23" ht="14.4" hidden="1" customHeight="1" outlineLevel="2">
      <c r="A291" s="363"/>
      <c r="B291" s="365"/>
      <c r="C291" s="151" t="str">
        <f t="shared" si="4"/>
        <v>Tertiaire</v>
      </c>
      <c r="D291" s="270"/>
      <c r="E291" s="163" t="s">
        <v>222</v>
      </c>
      <c r="F291" s="156">
        <v>0</v>
      </c>
      <c r="G291" s="156">
        <v>0</v>
      </c>
      <c r="H291" s="156">
        <v>18.070519211689501</v>
      </c>
      <c r="I291" s="156">
        <v>0</v>
      </c>
      <c r="J291" s="156">
        <v>49.575275861577303</v>
      </c>
      <c r="K291" s="156" t="s">
        <v>227</v>
      </c>
      <c r="L291" s="156">
        <v>0</v>
      </c>
      <c r="M291" s="156">
        <v>0</v>
      </c>
      <c r="N291" s="156">
        <v>0.23961726034607164</v>
      </c>
      <c r="O291" s="156">
        <v>2.3337122305837312E-2</v>
      </c>
      <c r="P291" s="156">
        <v>0</v>
      </c>
      <c r="Q291" s="156">
        <v>3.7565667832257126</v>
      </c>
      <c r="R291" s="156">
        <v>19.928989673411298</v>
      </c>
      <c r="S291" s="156">
        <v>1.3274910444668002</v>
      </c>
      <c r="T291" s="156">
        <v>142.65594093279753</v>
      </c>
      <c r="U291" s="156">
        <v>9.3930412172003983</v>
      </c>
      <c r="V291" s="156">
        <v>0</v>
      </c>
      <c r="W291" s="164">
        <v>244.97077910702043</v>
      </c>
    </row>
    <row r="292" spans="1:23" ht="14.4" hidden="1" customHeight="1" outlineLevel="2">
      <c r="A292" s="363"/>
      <c r="B292" s="365"/>
      <c r="C292" s="151" t="str">
        <f t="shared" si="4"/>
        <v>Agriculture</v>
      </c>
      <c r="D292" s="270"/>
      <c r="E292" s="163" t="s">
        <v>118</v>
      </c>
      <c r="F292" s="156">
        <v>0</v>
      </c>
      <c r="G292" s="156">
        <v>0</v>
      </c>
      <c r="H292" s="156">
        <v>35.713475773487431</v>
      </c>
      <c r="I292" s="156">
        <v>0</v>
      </c>
      <c r="J292" s="156">
        <v>2.1517893598512874</v>
      </c>
      <c r="K292" s="156">
        <v>0</v>
      </c>
      <c r="L292" s="156">
        <v>0</v>
      </c>
      <c r="M292" s="156">
        <v>0</v>
      </c>
      <c r="N292" s="156">
        <v>1.1222140419957851</v>
      </c>
      <c r="O292" s="156">
        <v>0</v>
      </c>
      <c r="P292" s="156">
        <v>1.7955006734201138</v>
      </c>
      <c r="Q292" s="156">
        <v>0.16305184980283202</v>
      </c>
      <c r="R292" s="156">
        <v>0</v>
      </c>
      <c r="S292" s="156">
        <v>8.070345812558942E-2</v>
      </c>
      <c r="T292" s="156">
        <v>7.1278592990405674</v>
      </c>
      <c r="U292" s="156">
        <v>0</v>
      </c>
      <c r="V292" s="156">
        <v>0</v>
      </c>
      <c r="W292" s="164">
        <v>48.154594455723604</v>
      </c>
    </row>
    <row r="293" spans="1:23" ht="14.4" hidden="1" customHeight="1" outlineLevel="2">
      <c r="A293" s="363"/>
      <c r="B293" s="365"/>
      <c r="C293" s="151" t="str">
        <f t="shared" si="4"/>
        <v>Puits technologiques</v>
      </c>
      <c r="D293" s="270"/>
      <c r="E293" s="163" t="s">
        <v>223</v>
      </c>
      <c r="F293" s="156">
        <v>0</v>
      </c>
      <c r="G293" s="156">
        <v>0</v>
      </c>
      <c r="H293" s="156">
        <v>0</v>
      </c>
      <c r="I293" s="156">
        <v>0</v>
      </c>
      <c r="J293" s="156">
        <v>0</v>
      </c>
      <c r="K293" s="156">
        <v>0</v>
      </c>
      <c r="L293" s="156">
        <v>0</v>
      </c>
      <c r="M293" s="156">
        <v>0</v>
      </c>
      <c r="N293" s="156">
        <v>0</v>
      </c>
      <c r="O293" s="156">
        <v>0</v>
      </c>
      <c r="P293" s="156">
        <v>0</v>
      </c>
      <c r="Q293" s="156">
        <v>0</v>
      </c>
      <c r="R293" s="156">
        <v>0</v>
      </c>
      <c r="S293" s="156">
        <v>0</v>
      </c>
      <c r="T293" s="156">
        <v>3.5999999999999997E-2</v>
      </c>
      <c r="U293" s="156">
        <v>0</v>
      </c>
      <c r="V293" s="156">
        <v>0</v>
      </c>
      <c r="W293" s="164">
        <v>3.5999999999999997E-2</v>
      </c>
    </row>
    <row r="294" spans="1:23" ht="14.4" hidden="1" customHeight="1" outlineLevel="2">
      <c r="A294" s="363"/>
      <c r="B294" s="365"/>
      <c r="C294" s="151" t="str">
        <f t="shared" si="4"/>
        <v>Consommation finale énergétique</v>
      </c>
      <c r="D294" s="270"/>
      <c r="E294" s="159" t="s">
        <v>224</v>
      </c>
      <c r="F294" s="160">
        <v>5.48584143501615</v>
      </c>
      <c r="G294" s="160">
        <v>0</v>
      </c>
      <c r="H294" s="160">
        <v>415.55702902814733</v>
      </c>
      <c r="I294" s="160">
        <v>0.19985559701340974</v>
      </c>
      <c r="J294" s="160">
        <v>245.570254320186</v>
      </c>
      <c r="K294" s="160">
        <v>0</v>
      </c>
      <c r="L294" s="160">
        <v>0</v>
      </c>
      <c r="M294" s="160">
        <v>0</v>
      </c>
      <c r="N294" s="160">
        <v>83.600521055109809</v>
      </c>
      <c r="O294" s="160">
        <v>1.5725904102880619</v>
      </c>
      <c r="P294" s="160">
        <v>33.588071726687929</v>
      </c>
      <c r="Q294" s="160">
        <v>18.626799194103956</v>
      </c>
      <c r="R294" s="160">
        <v>83.797134932884305</v>
      </c>
      <c r="S294" s="160">
        <v>3.7132661407387006</v>
      </c>
      <c r="T294" s="160">
        <v>476.8904276421145</v>
      </c>
      <c r="U294" s="160">
        <v>41.674226784536216</v>
      </c>
      <c r="V294" s="160">
        <v>4.0952161422216236</v>
      </c>
      <c r="W294" s="160">
        <v>1414.3712344090482</v>
      </c>
    </row>
    <row r="295" spans="1:23" ht="14.4" hidden="1" customHeight="1" outlineLevel="2">
      <c r="A295" s="363"/>
      <c r="B295" s="365"/>
      <c r="C295" s="151" t="str">
        <f t="shared" si="4"/>
        <v>Consommation finale non énergétique</v>
      </c>
      <c r="D295" s="270"/>
      <c r="E295" s="155" t="s">
        <v>225</v>
      </c>
      <c r="F295" s="156">
        <v>0</v>
      </c>
      <c r="G295" s="156">
        <v>0</v>
      </c>
      <c r="H295" s="156">
        <v>97.757184081798357</v>
      </c>
      <c r="I295" s="156">
        <v>0</v>
      </c>
      <c r="J295" s="156">
        <v>10.287263387690395</v>
      </c>
      <c r="K295" s="156">
        <v>0</v>
      </c>
      <c r="L295" s="156">
        <v>0</v>
      </c>
      <c r="M295" s="156">
        <v>0</v>
      </c>
      <c r="N295" s="156">
        <v>0</v>
      </c>
      <c r="O295" s="156">
        <v>0</v>
      </c>
      <c r="P295" s="156">
        <v>0</v>
      </c>
      <c r="Q295" s="156">
        <v>0</v>
      </c>
      <c r="R295" s="156">
        <v>0</v>
      </c>
      <c r="S295" s="156">
        <v>0</v>
      </c>
      <c r="T295" s="156">
        <v>0</v>
      </c>
      <c r="U295" s="156">
        <v>0</v>
      </c>
      <c r="V295" s="156">
        <v>0</v>
      </c>
      <c r="W295" s="164">
        <v>108.04444746948876</v>
      </c>
    </row>
    <row r="296" spans="1:23" ht="14.4" hidden="1" customHeight="1" outlineLevel="2">
      <c r="A296" s="363"/>
      <c r="B296" s="365"/>
      <c r="C296" s="151" t="str">
        <f t="shared" si="4"/>
        <v>Consommation finale</v>
      </c>
      <c r="D296" s="270"/>
      <c r="E296" s="159" t="s">
        <v>226</v>
      </c>
      <c r="F296" s="160">
        <v>5.48584143501615</v>
      </c>
      <c r="G296" s="160">
        <v>0</v>
      </c>
      <c r="H296" s="160">
        <v>513.31421310994574</v>
      </c>
      <c r="I296" s="160">
        <v>0.19985559701340974</v>
      </c>
      <c r="J296" s="160">
        <v>255.85751770787638</v>
      </c>
      <c r="K296" s="160">
        <v>0</v>
      </c>
      <c r="L296" s="160">
        <v>0</v>
      </c>
      <c r="M296" s="160">
        <v>0</v>
      </c>
      <c r="N296" s="160">
        <v>83.600521055109809</v>
      </c>
      <c r="O296" s="160">
        <v>1.5725904102880619</v>
      </c>
      <c r="P296" s="160">
        <v>33.588071726687929</v>
      </c>
      <c r="Q296" s="160">
        <v>18.626799194103956</v>
      </c>
      <c r="R296" s="160">
        <v>83.797134932884305</v>
      </c>
      <c r="S296" s="160">
        <v>3.7132661407387006</v>
      </c>
      <c r="T296" s="160">
        <v>476.8904276421145</v>
      </c>
      <c r="U296" s="160">
        <v>41.674226784536216</v>
      </c>
      <c r="V296" s="160">
        <v>4.0952161422216236</v>
      </c>
      <c r="W296" s="160">
        <v>1522.415681878537</v>
      </c>
    </row>
    <row r="297" spans="1:23" outlineLevel="1" collapsed="1">
      <c r="A297" s="363"/>
      <c r="B297" s="365"/>
      <c r="C297" s="151" t="str">
        <f t="shared" si="4"/>
        <v/>
      </c>
      <c r="D297" s="269"/>
      <c r="E297" s="114"/>
      <c r="F297" s="169"/>
      <c r="G297" s="169"/>
      <c r="H297" s="169"/>
      <c r="I297" s="169"/>
      <c r="J297" s="169"/>
      <c r="K297" s="169"/>
      <c r="L297" s="169"/>
      <c r="M297" s="271"/>
      <c r="N297" s="169"/>
      <c r="O297" s="169"/>
      <c r="P297" s="169"/>
      <c r="Q297" s="169"/>
      <c r="R297" s="169"/>
      <c r="S297" s="169"/>
      <c r="T297" s="169"/>
      <c r="U297" s="169"/>
      <c r="V297" s="169"/>
      <c r="W297" s="169"/>
    </row>
    <row r="298" spans="1:23" ht="28.2" outlineLevel="1">
      <c r="A298" s="363"/>
      <c r="B298" s="365"/>
      <c r="C298" s="151">
        <f t="shared" si="4"/>
        <v>2035</v>
      </c>
      <c r="D298" s="269"/>
      <c r="E298" s="654">
        <v>2035</v>
      </c>
      <c r="F298" s="655"/>
      <c r="G298" s="655"/>
      <c r="H298" s="655"/>
      <c r="I298" s="655"/>
      <c r="J298" s="655"/>
      <c r="K298" s="655"/>
      <c r="L298" s="656"/>
      <c r="M298" s="272"/>
      <c r="N298" s="273"/>
      <c r="O298" s="273"/>
      <c r="P298" s="273"/>
      <c r="Q298" s="273"/>
      <c r="R298" s="273"/>
      <c r="S298" s="273"/>
      <c r="T298" s="273"/>
      <c r="U298" s="273"/>
      <c r="V298" s="273"/>
      <c r="W298" s="273"/>
    </row>
    <row r="299" spans="1:23" ht="14.4" hidden="1" customHeight="1" outlineLevel="2">
      <c r="A299" s="363"/>
      <c r="B299" s="365"/>
      <c r="C299" s="151" t="str">
        <f t="shared" si="4"/>
        <v>TWh</v>
      </c>
      <c r="D299" s="269"/>
      <c r="E299" s="662" t="s">
        <v>184</v>
      </c>
      <c r="F299" s="659" t="s">
        <v>185</v>
      </c>
      <c r="G299" s="659" t="s">
        <v>186</v>
      </c>
      <c r="H299" s="659" t="s">
        <v>187</v>
      </c>
      <c r="I299" s="657" t="s">
        <v>188</v>
      </c>
      <c r="J299" s="657" t="s">
        <v>189</v>
      </c>
      <c r="K299" s="657" t="s">
        <v>190</v>
      </c>
      <c r="L299" s="659" t="s">
        <v>191</v>
      </c>
      <c r="M299" s="659" t="s">
        <v>192</v>
      </c>
      <c r="N299" s="659" t="s">
        <v>193</v>
      </c>
      <c r="O299" s="660"/>
      <c r="P299" s="660"/>
      <c r="Q299" s="660"/>
      <c r="R299" s="660"/>
      <c r="S299" s="661"/>
      <c r="T299" s="657" t="s">
        <v>194</v>
      </c>
      <c r="U299" s="657" t="s">
        <v>195</v>
      </c>
      <c r="V299" s="657" t="s">
        <v>196</v>
      </c>
      <c r="W299" s="657" t="s">
        <v>144</v>
      </c>
    </row>
    <row r="300" spans="1:23" ht="36" hidden="1" customHeight="1" outlineLevel="2">
      <c r="A300" s="363"/>
      <c r="B300" s="365"/>
      <c r="C300" s="151" t="str">
        <f t="shared" si="4"/>
        <v/>
      </c>
      <c r="D300" s="270"/>
      <c r="E300" s="662"/>
      <c r="F300" s="659"/>
      <c r="G300" s="659"/>
      <c r="H300" s="659"/>
      <c r="I300" s="658"/>
      <c r="J300" s="658"/>
      <c r="K300" s="658"/>
      <c r="L300" s="659"/>
      <c r="M300" s="659"/>
      <c r="N300" s="153" t="s">
        <v>197</v>
      </c>
      <c r="O300" s="153" t="s">
        <v>24</v>
      </c>
      <c r="P300" s="153" t="s">
        <v>198</v>
      </c>
      <c r="Q300" s="153" t="s">
        <v>199</v>
      </c>
      <c r="R300" s="154" t="s">
        <v>200</v>
      </c>
      <c r="S300" s="153" t="s">
        <v>201</v>
      </c>
      <c r="T300" s="658"/>
      <c r="U300" s="658"/>
      <c r="V300" s="658"/>
      <c r="W300" s="658"/>
    </row>
    <row r="301" spans="1:23" ht="14.4" hidden="1" customHeight="1" outlineLevel="2">
      <c r="A301" s="363"/>
      <c r="B301" s="365"/>
      <c r="C301" s="151" t="str">
        <f t="shared" si="4"/>
        <v>Production d'énergie primaire</v>
      </c>
      <c r="D301" s="270"/>
      <c r="E301" s="155" t="s">
        <v>202</v>
      </c>
      <c r="F301" s="156">
        <v>0</v>
      </c>
      <c r="G301" s="156">
        <v>4.7683</v>
      </c>
      <c r="H301" s="156">
        <v>0</v>
      </c>
      <c r="I301" s="156">
        <v>0</v>
      </c>
      <c r="J301" s="156">
        <v>9.8855000000000012E-2</v>
      </c>
      <c r="K301" s="156">
        <v>0</v>
      </c>
      <c r="L301" s="157">
        <v>1143.2330909090908</v>
      </c>
      <c r="M301" s="157">
        <v>252.67322417363897</v>
      </c>
      <c r="N301" s="165">
        <v>228.42354841224915</v>
      </c>
      <c r="O301" s="157">
        <v>40.665673436563587</v>
      </c>
      <c r="P301" s="156">
        <v>0.52933080320628545</v>
      </c>
      <c r="Q301" s="156">
        <v>0.16454071895764516</v>
      </c>
      <c r="R301" s="157">
        <v>89.241437509463196</v>
      </c>
      <c r="S301" s="157">
        <v>9.5466682012800348</v>
      </c>
      <c r="T301" s="156">
        <v>0</v>
      </c>
      <c r="U301" s="156">
        <v>0</v>
      </c>
      <c r="V301" s="156">
        <v>0</v>
      </c>
      <c r="W301" s="158">
        <v>1769.3446691644494</v>
      </c>
    </row>
    <row r="302" spans="1:23" ht="14.4" hidden="1" customHeight="1" outlineLevel="2">
      <c r="A302" s="363"/>
      <c r="B302" s="365"/>
      <c r="C302" s="151" t="str">
        <f t="shared" si="4"/>
        <v>Importations</v>
      </c>
      <c r="D302" s="270"/>
      <c r="E302" s="155" t="s">
        <v>203</v>
      </c>
      <c r="F302" s="156">
        <v>31.988388915170802</v>
      </c>
      <c r="G302" s="156">
        <v>491.56516259994982</v>
      </c>
      <c r="H302" s="156">
        <v>96.603128160771405</v>
      </c>
      <c r="I302" s="157">
        <v>0</v>
      </c>
      <c r="J302" s="157">
        <v>336.39233222874338</v>
      </c>
      <c r="K302" s="157">
        <v>0</v>
      </c>
      <c r="L302" s="156">
        <v>0</v>
      </c>
      <c r="M302" s="156">
        <v>0</v>
      </c>
      <c r="N302" s="156">
        <v>4.1932720203152556</v>
      </c>
      <c r="O302" s="156">
        <v>0</v>
      </c>
      <c r="P302" s="156">
        <v>7.1182295142822136</v>
      </c>
      <c r="Q302" s="156">
        <v>10.692841078398093</v>
      </c>
      <c r="R302" s="156">
        <v>0</v>
      </c>
      <c r="S302" s="156">
        <v>0</v>
      </c>
      <c r="T302" s="156">
        <v>0</v>
      </c>
      <c r="U302" s="156">
        <v>0</v>
      </c>
      <c r="V302" s="156">
        <v>0</v>
      </c>
      <c r="W302" s="158">
        <v>978.55335451763096</v>
      </c>
    </row>
    <row r="303" spans="1:23" ht="14.4" hidden="1" customHeight="1" outlineLevel="2">
      <c r="A303" s="363"/>
      <c r="B303" s="365"/>
      <c r="C303" s="151" t="str">
        <f t="shared" si="4"/>
        <v>Exportations</v>
      </c>
      <c r="D303" s="270"/>
      <c r="E303" s="155" t="s">
        <v>204</v>
      </c>
      <c r="F303" s="156">
        <v>0</v>
      </c>
      <c r="G303" s="156">
        <v>0</v>
      </c>
      <c r="H303" s="156">
        <v>-1.6003163827444944</v>
      </c>
      <c r="I303" s="157">
        <v>-2.8653801348633294</v>
      </c>
      <c r="J303" s="157">
        <v>0</v>
      </c>
      <c r="K303" s="157">
        <v>0</v>
      </c>
      <c r="L303" s="156">
        <v>0</v>
      </c>
      <c r="M303" s="156">
        <v>0</v>
      </c>
      <c r="N303" s="156">
        <v>-19.419532919892418</v>
      </c>
      <c r="O303" s="156">
        <v>0</v>
      </c>
      <c r="P303" s="156">
        <v>0</v>
      </c>
      <c r="Q303" s="156">
        <v>0</v>
      </c>
      <c r="R303" s="156">
        <v>0</v>
      </c>
      <c r="S303" s="156">
        <v>0</v>
      </c>
      <c r="T303" s="156">
        <v>-90.879401337216905</v>
      </c>
      <c r="U303" s="156">
        <v>0</v>
      </c>
      <c r="V303" s="156">
        <v>0</v>
      </c>
      <c r="W303" s="158">
        <v>-114.76463077471715</v>
      </c>
    </row>
    <row r="304" spans="1:23" ht="14.4" hidden="1" customHeight="1" outlineLevel="2">
      <c r="A304" s="363"/>
      <c r="B304" s="365"/>
      <c r="C304" s="151" t="str">
        <f t="shared" si="4"/>
        <v>Soutes maritimes internationales</v>
      </c>
      <c r="D304" s="270"/>
      <c r="E304" s="155" t="s">
        <v>205</v>
      </c>
      <c r="F304" s="156">
        <v>0</v>
      </c>
      <c r="G304" s="156">
        <v>0</v>
      </c>
      <c r="H304" s="156">
        <v>-10.097731490502513</v>
      </c>
      <c r="I304" s="156">
        <v>-0.52058714318321797</v>
      </c>
      <c r="J304" s="156">
        <v>-1.7455980034082683</v>
      </c>
      <c r="K304" s="156">
        <v>-0.54092904708810252</v>
      </c>
      <c r="L304" s="156">
        <v>0</v>
      </c>
      <c r="M304" s="156">
        <v>0</v>
      </c>
      <c r="N304" s="156">
        <v>0</v>
      </c>
      <c r="O304" s="156">
        <v>0</v>
      </c>
      <c r="P304" s="156">
        <v>-0.91388653275858911</v>
      </c>
      <c r="Q304" s="156">
        <v>-0.87582075112609836</v>
      </c>
      <c r="R304" s="156">
        <v>0</v>
      </c>
      <c r="S304" s="156">
        <v>0</v>
      </c>
      <c r="T304" s="156">
        <v>0</v>
      </c>
      <c r="U304" s="156">
        <v>0</v>
      </c>
      <c r="V304" s="156">
        <v>-0.10846902189050937</v>
      </c>
      <c r="W304" s="158">
        <v>-14.803021989957299</v>
      </c>
    </row>
    <row r="305" spans="1:23" ht="14.4" hidden="1" customHeight="1" outlineLevel="2">
      <c r="A305" s="363"/>
      <c r="B305" s="365"/>
      <c r="C305" s="151" t="str">
        <f t="shared" si="4"/>
        <v>Soutes aériennes internationales</v>
      </c>
      <c r="D305" s="270"/>
      <c r="E305" s="155" t="s">
        <v>206</v>
      </c>
      <c r="F305" s="156">
        <v>0</v>
      </c>
      <c r="G305" s="156">
        <v>0</v>
      </c>
      <c r="H305" s="156">
        <v>-69.264494728017212</v>
      </c>
      <c r="I305" s="156">
        <v>-3.8378877707356245</v>
      </c>
      <c r="J305" s="156">
        <v>0</v>
      </c>
      <c r="K305" s="156">
        <v>0</v>
      </c>
      <c r="L305" s="156">
        <v>0</v>
      </c>
      <c r="M305" s="156">
        <v>0</v>
      </c>
      <c r="N305" s="156">
        <v>0</v>
      </c>
      <c r="O305" s="156">
        <v>0</v>
      </c>
      <c r="P305" s="156">
        <v>-11.466100182047089</v>
      </c>
      <c r="Q305" s="156">
        <v>0</v>
      </c>
      <c r="R305" s="156">
        <v>0</v>
      </c>
      <c r="S305" s="156">
        <v>0</v>
      </c>
      <c r="T305" s="156">
        <v>0</v>
      </c>
      <c r="U305" s="156">
        <v>0</v>
      </c>
      <c r="V305" s="156">
        <v>-6.3950971368952447E-2</v>
      </c>
      <c r="W305" s="158">
        <v>-84.632433652168871</v>
      </c>
    </row>
    <row r="306" spans="1:23" ht="14.4" hidden="1" customHeight="1" outlineLevel="2">
      <c r="A306" s="363"/>
      <c r="B306" s="365"/>
      <c r="C306" s="151" t="str">
        <f t="shared" si="4"/>
        <v>Variations de stocks (+ = déstockage, - = stockage)</v>
      </c>
      <c r="D306" s="270"/>
      <c r="E306" s="155" t="s">
        <v>207</v>
      </c>
      <c r="F306" s="156">
        <v>0</v>
      </c>
      <c r="G306" s="156">
        <v>0</v>
      </c>
      <c r="H306" s="156">
        <v>0</v>
      </c>
      <c r="I306" s="157">
        <v>0</v>
      </c>
      <c r="J306" s="157">
        <v>0</v>
      </c>
      <c r="K306" s="157">
        <v>0</v>
      </c>
      <c r="L306" s="156">
        <v>0</v>
      </c>
      <c r="M306" s="156">
        <v>0</v>
      </c>
      <c r="N306" s="156">
        <v>0</v>
      </c>
      <c r="O306" s="156">
        <v>0</v>
      </c>
      <c r="P306" s="156">
        <v>0</v>
      </c>
      <c r="Q306" s="156">
        <v>0</v>
      </c>
      <c r="R306" s="156">
        <v>0</v>
      </c>
      <c r="S306" s="156">
        <v>0</v>
      </c>
      <c r="T306" s="156">
        <v>0</v>
      </c>
      <c r="U306" s="156">
        <v>0</v>
      </c>
      <c r="V306" s="156">
        <v>0</v>
      </c>
      <c r="W306" s="158">
        <v>0</v>
      </c>
    </row>
    <row r="307" spans="1:23" ht="14.4" hidden="1" customHeight="1" outlineLevel="2">
      <c r="A307" s="363"/>
      <c r="B307" s="365"/>
      <c r="C307" s="151" t="str">
        <f t="shared" si="4"/>
        <v>Total approvisionnement / consommation primaire</v>
      </c>
      <c r="D307" s="270"/>
      <c r="E307" s="159" t="s">
        <v>208</v>
      </c>
      <c r="F307" s="160">
        <v>31.988388915170802</v>
      </c>
      <c r="G307" s="160">
        <v>496.33346259994983</v>
      </c>
      <c r="H307" s="160">
        <v>15.64058555950718</v>
      </c>
      <c r="I307" s="160">
        <v>-7.2238550487821716</v>
      </c>
      <c r="J307" s="160">
        <v>334.74558922533515</v>
      </c>
      <c r="K307" s="160">
        <v>-0.54092904708810252</v>
      </c>
      <c r="L307" s="160">
        <v>1143.2330909090908</v>
      </c>
      <c r="M307" s="160">
        <v>252.67322417363897</v>
      </c>
      <c r="N307" s="160">
        <v>213.19728751267201</v>
      </c>
      <c r="O307" s="160">
        <v>40.665673436563587</v>
      </c>
      <c r="P307" s="160">
        <v>-4.7324263973171785</v>
      </c>
      <c r="Q307" s="160">
        <v>9.9815610462296398</v>
      </c>
      <c r="R307" s="160">
        <v>89.241437509463196</v>
      </c>
      <c r="S307" s="160">
        <v>9.5466682012800348</v>
      </c>
      <c r="T307" s="160">
        <v>-90.879401337216905</v>
      </c>
      <c r="U307" s="160">
        <v>0</v>
      </c>
      <c r="V307" s="160">
        <v>-0.17241999325946183</v>
      </c>
      <c r="W307" s="160">
        <v>2533.6979372652368</v>
      </c>
    </row>
    <row r="308" spans="1:23" ht="14.4" hidden="1" customHeight="1" outlineLevel="2">
      <c r="A308" s="363"/>
      <c r="B308" s="365"/>
      <c r="C308" s="151">
        <f t="shared" si="4"/>
        <v>0</v>
      </c>
      <c r="D308" s="270"/>
      <c r="E308" s="161"/>
      <c r="F308" s="162">
        <v>0</v>
      </c>
      <c r="G308" s="162">
        <v>0</v>
      </c>
      <c r="H308" s="162">
        <v>0</v>
      </c>
      <c r="I308" s="162"/>
      <c r="J308" s="162"/>
      <c r="K308" s="162"/>
      <c r="L308" s="162">
        <v>0</v>
      </c>
      <c r="M308" s="162">
        <v>0</v>
      </c>
      <c r="N308" s="162">
        <v>0</v>
      </c>
      <c r="O308" s="162">
        <v>0</v>
      </c>
      <c r="P308" s="162">
        <v>0</v>
      </c>
      <c r="Q308" s="162">
        <v>0</v>
      </c>
      <c r="R308" s="162">
        <v>0</v>
      </c>
      <c r="S308" s="162">
        <v>0</v>
      </c>
      <c r="T308" s="162">
        <v>0</v>
      </c>
      <c r="U308" s="162">
        <v>0</v>
      </c>
      <c r="V308" s="162">
        <v>0</v>
      </c>
      <c r="W308" s="162">
        <v>0</v>
      </c>
    </row>
    <row r="309" spans="1:23" ht="14.4" hidden="1" customHeight="1" outlineLevel="2">
      <c r="A309" s="363"/>
      <c r="B309" s="365"/>
      <c r="C309" s="151" t="str">
        <f t="shared" si="4"/>
        <v>Écart statistique</v>
      </c>
      <c r="D309" s="270"/>
      <c r="E309" s="163" t="s">
        <v>209</v>
      </c>
      <c r="F309" s="156">
        <v>0</v>
      </c>
      <c r="G309" s="156">
        <v>0</v>
      </c>
      <c r="H309" s="156">
        <v>0</v>
      </c>
      <c r="I309" s="156">
        <v>0</v>
      </c>
      <c r="J309" s="156">
        <v>0</v>
      </c>
      <c r="K309" s="156">
        <v>0</v>
      </c>
      <c r="L309" s="156">
        <v>0</v>
      </c>
      <c r="M309" s="156">
        <v>0</v>
      </c>
      <c r="N309" s="156">
        <v>0</v>
      </c>
      <c r="O309" s="156">
        <v>0</v>
      </c>
      <c r="P309" s="156">
        <v>0</v>
      </c>
      <c r="Q309" s="156">
        <v>0</v>
      </c>
      <c r="R309" s="156">
        <v>0</v>
      </c>
      <c r="S309" s="156">
        <v>0</v>
      </c>
      <c r="T309" s="156">
        <v>0</v>
      </c>
      <c r="U309" s="156">
        <v>0</v>
      </c>
      <c r="V309" s="156">
        <v>0</v>
      </c>
      <c r="W309" s="164">
        <v>0</v>
      </c>
    </row>
    <row r="310" spans="1:23" ht="14.4" hidden="1" customHeight="1" outlineLevel="2">
      <c r="A310" s="363"/>
      <c r="B310" s="365"/>
      <c r="C310" s="151" t="str">
        <f t="shared" si="4"/>
        <v>Production d'électricité</v>
      </c>
      <c r="D310" s="270"/>
      <c r="E310" s="163" t="s">
        <v>13</v>
      </c>
      <c r="F310" s="156">
        <v>0.65592916206991536</v>
      </c>
      <c r="G310" s="156">
        <v>0</v>
      </c>
      <c r="H310" s="156">
        <v>6.2749163031080322</v>
      </c>
      <c r="I310" s="156">
        <v>0</v>
      </c>
      <c r="J310" s="156">
        <v>47.786666666666662</v>
      </c>
      <c r="K310" s="156">
        <v>0</v>
      </c>
      <c r="L310" s="156">
        <v>1143.2330909090908</v>
      </c>
      <c r="M310" s="156">
        <v>252.67322417363897</v>
      </c>
      <c r="N310" s="156">
        <v>26.687976185719684</v>
      </c>
      <c r="O310" s="156">
        <v>7.1155856403839755</v>
      </c>
      <c r="P310" s="156">
        <v>2.9343579811324587</v>
      </c>
      <c r="Q310" s="156">
        <v>5.6787101086052463</v>
      </c>
      <c r="R310" s="156">
        <v>0</v>
      </c>
      <c r="S310" s="156">
        <v>3.229189720959583</v>
      </c>
      <c r="T310" s="156">
        <v>-677.6658324316644</v>
      </c>
      <c r="U310" s="156">
        <v>0</v>
      </c>
      <c r="V310" s="156">
        <v>0</v>
      </c>
      <c r="W310" s="164">
        <v>818.60381441971094</v>
      </c>
    </row>
    <row r="311" spans="1:23" ht="14.4" hidden="1" customHeight="1" outlineLevel="2">
      <c r="A311" s="363"/>
      <c r="B311" s="365"/>
      <c r="C311" s="151" t="str">
        <f t="shared" si="4"/>
        <v>Production de chaleur</v>
      </c>
      <c r="D311" s="270"/>
      <c r="E311" s="163" t="s">
        <v>210</v>
      </c>
      <c r="F311" s="156">
        <v>0</v>
      </c>
      <c r="G311" s="156">
        <v>0</v>
      </c>
      <c r="H311" s="156">
        <v>0</v>
      </c>
      <c r="I311" s="156">
        <v>0</v>
      </c>
      <c r="J311" s="156">
        <v>15.077544897383696</v>
      </c>
      <c r="K311" s="156">
        <v>0</v>
      </c>
      <c r="L311" s="156">
        <v>0</v>
      </c>
      <c r="M311" s="156">
        <v>0</v>
      </c>
      <c r="N311" s="156">
        <v>14.817606607400283</v>
      </c>
      <c r="O311" s="156">
        <v>14.006561307694295</v>
      </c>
      <c r="P311" s="156">
        <v>0</v>
      </c>
      <c r="Q311" s="156">
        <v>2.5914845604158114</v>
      </c>
      <c r="R311" s="156">
        <v>0</v>
      </c>
      <c r="S311" s="156">
        <v>2.5609970878722823</v>
      </c>
      <c r="T311" s="156">
        <v>0</v>
      </c>
      <c r="U311" s="156">
        <v>-44.604649717565536</v>
      </c>
      <c r="V311" s="156">
        <v>0</v>
      </c>
      <c r="W311" s="164">
        <v>4.4495447432008373</v>
      </c>
    </row>
    <row r="312" spans="1:23" ht="14.4" hidden="1" customHeight="1" outlineLevel="2">
      <c r="A312" s="363"/>
      <c r="B312" s="365"/>
      <c r="C312" s="151" t="str">
        <f t="shared" si="4"/>
        <v>Production de gaz renouvelable</v>
      </c>
      <c r="D312" s="270"/>
      <c r="E312" s="163" t="s">
        <v>211</v>
      </c>
      <c r="F312" s="156">
        <v>0</v>
      </c>
      <c r="G312" s="156">
        <v>0</v>
      </c>
      <c r="H312" s="156">
        <v>0</v>
      </c>
      <c r="I312" s="156">
        <v>0</v>
      </c>
      <c r="J312" s="156">
        <v>0</v>
      </c>
      <c r="K312" s="156">
        <v>0</v>
      </c>
      <c r="L312" s="156">
        <v>0</v>
      </c>
      <c r="M312" s="156">
        <v>0</v>
      </c>
      <c r="N312" s="156">
        <v>25.667115491511439</v>
      </c>
      <c r="O312" s="156">
        <v>10.502503250979437</v>
      </c>
      <c r="P312" s="156">
        <v>0</v>
      </c>
      <c r="Q312" s="156">
        <v>-18.084809371245438</v>
      </c>
      <c r="R312" s="156">
        <v>0</v>
      </c>
      <c r="S312" s="156">
        <v>0</v>
      </c>
      <c r="T312" s="156">
        <v>0</v>
      </c>
      <c r="U312" s="156">
        <v>0</v>
      </c>
      <c r="V312" s="156">
        <v>0</v>
      </c>
      <c r="W312" s="164">
        <v>18.084809371245438</v>
      </c>
    </row>
    <row r="313" spans="1:23" ht="14.4" hidden="1" customHeight="1" outlineLevel="2">
      <c r="A313" s="363"/>
      <c r="B313" s="365"/>
      <c r="C313" s="151" t="str">
        <f t="shared" si="4"/>
        <v>Production de gaz de synthèse</v>
      </c>
      <c r="D313" s="270"/>
      <c r="E313" s="163" t="s">
        <v>212</v>
      </c>
      <c r="F313" s="156">
        <v>0</v>
      </c>
      <c r="G313" s="156">
        <v>0</v>
      </c>
      <c r="H313" s="156">
        <v>0</v>
      </c>
      <c r="I313" s="156">
        <v>0</v>
      </c>
      <c r="J313" s="156">
        <v>0</v>
      </c>
      <c r="K313" s="156">
        <v>-0.54092904708810252</v>
      </c>
      <c r="L313" s="156">
        <v>0</v>
      </c>
      <c r="M313" s="156">
        <v>0</v>
      </c>
      <c r="N313" s="156">
        <v>0</v>
      </c>
      <c r="O313" s="156">
        <v>0</v>
      </c>
      <c r="P313" s="156">
        <v>0</v>
      </c>
      <c r="Q313" s="156">
        <v>0</v>
      </c>
      <c r="R313" s="156">
        <v>0</v>
      </c>
      <c r="S313" s="156">
        <v>0</v>
      </c>
      <c r="T313" s="156">
        <v>0</v>
      </c>
      <c r="U313" s="156">
        <v>0</v>
      </c>
      <c r="V313" s="156">
        <v>0</v>
      </c>
      <c r="W313" s="164">
        <v>-0.54092904708810252</v>
      </c>
    </row>
    <row r="314" spans="1:23" ht="14.4" hidden="1" customHeight="1" outlineLevel="2">
      <c r="A314" s="363"/>
      <c r="B314" s="365"/>
      <c r="C314" s="151" t="str">
        <f t="shared" si="4"/>
        <v>Raffinage de pétrole</v>
      </c>
      <c r="D314" s="270"/>
      <c r="E314" s="163" t="s">
        <v>213</v>
      </c>
      <c r="F314" s="156">
        <v>0</v>
      </c>
      <c r="G314" s="156">
        <v>514.34130139285492</v>
      </c>
      <c r="H314" s="156">
        <v>-509.21647065242576</v>
      </c>
      <c r="I314" s="156">
        <v>0</v>
      </c>
      <c r="J314" s="156">
        <v>0</v>
      </c>
      <c r="K314" s="156">
        <v>0</v>
      </c>
      <c r="L314" s="156">
        <v>0</v>
      </c>
      <c r="M314" s="156">
        <v>0</v>
      </c>
      <c r="N314" s="156">
        <v>0</v>
      </c>
      <c r="O314" s="156">
        <v>0</v>
      </c>
      <c r="P314" s="156">
        <v>0</v>
      </c>
      <c r="Q314" s="156">
        <v>0</v>
      </c>
      <c r="R314" s="156">
        <v>0</v>
      </c>
      <c r="S314" s="156">
        <v>0</v>
      </c>
      <c r="T314" s="156">
        <v>0</v>
      </c>
      <c r="U314" s="156">
        <v>0</v>
      </c>
      <c r="V314" s="156">
        <v>0</v>
      </c>
      <c r="W314" s="164">
        <v>5.1248307404291396</v>
      </c>
    </row>
    <row r="315" spans="1:23" ht="14.4" hidden="1" customHeight="1" outlineLevel="2">
      <c r="A315" s="363"/>
      <c r="B315" s="365"/>
      <c r="C315" s="151" t="str">
        <f t="shared" si="4"/>
        <v>Production de biocarburants</v>
      </c>
      <c r="D315" s="270"/>
      <c r="E315" s="163" t="s">
        <v>214</v>
      </c>
      <c r="F315" s="156">
        <v>0</v>
      </c>
      <c r="G315" s="156">
        <v>0</v>
      </c>
      <c r="H315" s="156">
        <v>0</v>
      </c>
      <c r="I315" s="156">
        <v>0</v>
      </c>
      <c r="J315" s="156">
        <v>0</v>
      </c>
      <c r="K315" s="156">
        <v>0</v>
      </c>
      <c r="L315" s="156">
        <v>0</v>
      </c>
      <c r="M315" s="156">
        <v>0</v>
      </c>
      <c r="N315" s="156">
        <v>63.310786435829783</v>
      </c>
      <c r="O315" s="156">
        <v>7.2727272727272725</v>
      </c>
      <c r="P315" s="156">
        <v>-38.820932539706384</v>
      </c>
      <c r="Q315" s="156">
        <v>0</v>
      </c>
      <c r="R315" s="156">
        <v>0</v>
      </c>
      <c r="S315" s="156">
        <v>0</v>
      </c>
      <c r="T315" s="156">
        <v>0</v>
      </c>
      <c r="U315" s="156">
        <v>0</v>
      </c>
      <c r="V315" s="156">
        <v>0</v>
      </c>
      <c r="W315" s="164">
        <v>31.762581168850666</v>
      </c>
    </row>
    <row r="316" spans="1:23" ht="14.4" hidden="1" customHeight="1" outlineLevel="2">
      <c r="A316" s="363"/>
      <c r="B316" s="365"/>
      <c r="C316" s="151" t="str">
        <f t="shared" si="4"/>
        <v>Production d'e-fuels</v>
      </c>
      <c r="D316" s="270"/>
      <c r="E316" s="163" t="s">
        <v>215</v>
      </c>
      <c r="F316" s="156">
        <v>0</v>
      </c>
      <c r="G316" s="156">
        <v>0</v>
      </c>
      <c r="H316" s="156">
        <v>0</v>
      </c>
      <c r="I316" s="156">
        <v>-7.5243717289923264</v>
      </c>
      <c r="J316" s="156">
        <v>0</v>
      </c>
      <c r="K316" s="156">
        <v>0</v>
      </c>
      <c r="L316" s="156">
        <v>0</v>
      </c>
      <c r="M316" s="156">
        <v>0</v>
      </c>
      <c r="N316" s="156">
        <v>0</v>
      </c>
      <c r="O316" s="156">
        <v>0</v>
      </c>
      <c r="P316" s="156">
        <v>0</v>
      </c>
      <c r="Q316" s="156">
        <v>0</v>
      </c>
      <c r="R316" s="156">
        <v>0</v>
      </c>
      <c r="S316" s="156">
        <v>0</v>
      </c>
      <c r="T316" s="156">
        <v>0</v>
      </c>
      <c r="U316" s="156">
        <v>0</v>
      </c>
      <c r="V316" s="156">
        <v>10.479626363499062</v>
      </c>
      <c r="W316" s="164">
        <v>2.9552546345067352</v>
      </c>
    </row>
    <row r="317" spans="1:23" ht="14.4" hidden="1" customHeight="1" outlineLevel="2">
      <c r="A317" s="363"/>
      <c r="B317" s="365"/>
      <c r="C317" s="151" t="str">
        <f t="shared" si="4"/>
        <v>Production d'hydrogène</v>
      </c>
      <c r="D317" s="270"/>
      <c r="E317" s="163" t="s">
        <v>216</v>
      </c>
      <c r="F317" s="156">
        <v>0</v>
      </c>
      <c r="G317" s="156">
        <v>0</v>
      </c>
      <c r="H317" s="156">
        <v>0</v>
      </c>
      <c r="I317" s="156">
        <v>0</v>
      </c>
      <c r="J317" s="156">
        <v>10.163755501731364</v>
      </c>
      <c r="K317" s="156">
        <v>0</v>
      </c>
      <c r="L317" s="156">
        <v>0</v>
      </c>
      <c r="M317" s="156">
        <v>0</v>
      </c>
      <c r="N317" s="156">
        <v>0</v>
      </c>
      <c r="O317" s="156">
        <v>0.21864817173113818</v>
      </c>
      <c r="P317" s="156">
        <v>0</v>
      </c>
      <c r="Q317" s="156">
        <v>0.76865308482554451</v>
      </c>
      <c r="R317" s="156">
        <v>0</v>
      </c>
      <c r="S317" s="156">
        <v>0</v>
      </c>
      <c r="T317" s="156">
        <v>11.235404180341632</v>
      </c>
      <c r="U317" s="156">
        <v>0</v>
      </c>
      <c r="V317" s="156">
        <v>-15.305372021179672</v>
      </c>
      <c r="W317" s="164">
        <v>7.0810889174500069</v>
      </c>
    </row>
    <row r="318" spans="1:23" ht="14.4" hidden="1" customHeight="1" outlineLevel="2">
      <c r="A318" s="363"/>
      <c r="B318" s="365"/>
      <c r="C318" s="151" t="str">
        <f t="shared" si="4"/>
        <v>Autres transformations, transferts</v>
      </c>
      <c r="D318" s="270"/>
      <c r="E318" s="163" t="s">
        <v>217</v>
      </c>
      <c r="F318" s="156">
        <v>18.595769765624997</v>
      </c>
      <c r="G318" s="156">
        <v>-18.007838792905055</v>
      </c>
      <c r="H318" s="156">
        <v>23.677272819128817</v>
      </c>
      <c r="I318" s="156">
        <v>0</v>
      </c>
      <c r="J318" s="156">
        <v>0</v>
      </c>
      <c r="K318" s="156">
        <v>0</v>
      </c>
      <c r="L318" s="156">
        <v>0</v>
      </c>
      <c r="M318" s="156">
        <v>0</v>
      </c>
      <c r="N318" s="156">
        <v>0</v>
      </c>
      <c r="O318" s="156">
        <v>0</v>
      </c>
      <c r="P318" s="156">
        <v>0</v>
      </c>
      <c r="Q318" s="156">
        <v>0</v>
      </c>
      <c r="R318" s="156">
        <v>0</v>
      </c>
      <c r="S318" s="156">
        <v>0</v>
      </c>
      <c r="T318" s="156">
        <v>0</v>
      </c>
      <c r="U318" s="156">
        <v>0</v>
      </c>
      <c r="V318" s="156">
        <v>0</v>
      </c>
      <c r="W318" s="164">
        <v>24.265203791848759</v>
      </c>
    </row>
    <row r="319" spans="1:23" ht="14.4" hidden="1" customHeight="1" outlineLevel="2">
      <c r="A319" s="363"/>
      <c r="B319" s="365"/>
      <c r="C319" s="151" t="str">
        <f t="shared" si="4"/>
        <v>Usages internes de la branche énergie</v>
      </c>
      <c r="D319" s="270"/>
      <c r="E319" s="163" t="s">
        <v>218</v>
      </c>
      <c r="F319" s="156">
        <v>7.2316882421875004</v>
      </c>
      <c r="G319" s="156">
        <v>0</v>
      </c>
      <c r="H319" s="156">
        <v>17.658950702997188</v>
      </c>
      <c r="I319" s="156">
        <v>0</v>
      </c>
      <c r="J319" s="156">
        <v>4.703843078950614</v>
      </c>
      <c r="K319" s="156">
        <v>0</v>
      </c>
      <c r="L319" s="156">
        <v>0</v>
      </c>
      <c r="M319" s="156">
        <v>0</v>
      </c>
      <c r="N319" s="156">
        <v>0</v>
      </c>
      <c r="O319" s="156">
        <v>0</v>
      </c>
      <c r="P319" s="156">
        <v>0</v>
      </c>
      <c r="Q319" s="156">
        <v>0.3557369608659679</v>
      </c>
      <c r="R319" s="156">
        <v>0</v>
      </c>
      <c r="S319" s="156">
        <v>0</v>
      </c>
      <c r="T319" s="156">
        <v>36.011538710394035</v>
      </c>
      <c r="U319" s="156">
        <v>0</v>
      </c>
      <c r="V319" s="156">
        <v>0</v>
      </c>
      <c r="W319" s="164">
        <v>65.961757695395306</v>
      </c>
    </row>
    <row r="320" spans="1:23" ht="14.4" hidden="1" customHeight="1" outlineLevel="2">
      <c r="A320" s="363"/>
      <c r="B320" s="365"/>
      <c r="C320" s="151" t="str">
        <f t="shared" si="4"/>
        <v>Pertes de transport et de distribution</v>
      </c>
      <c r="D320" s="270"/>
      <c r="E320" s="163" t="s">
        <v>219</v>
      </c>
      <c r="F320" s="156">
        <v>0</v>
      </c>
      <c r="G320" s="156">
        <v>0</v>
      </c>
      <c r="H320" s="156">
        <v>0</v>
      </c>
      <c r="I320" s="156">
        <v>0</v>
      </c>
      <c r="J320" s="156">
        <v>3.1009590430143161</v>
      </c>
      <c r="K320" s="156">
        <v>0</v>
      </c>
      <c r="L320" s="156">
        <v>0</v>
      </c>
      <c r="M320" s="156">
        <v>0</v>
      </c>
      <c r="N320" s="156">
        <v>0</v>
      </c>
      <c r="O320" s="156">
        <v>0</v>
      </c>
      <c r="P320" s="156">
        <v>0</v>
      </c>
      <c r="Q320" s="156">
        <v>0.23451584740744602</v>
      </c>
      <c r="R320" s="156">
        <v>0</v>
      </c>
      <c r="S320" s="156">
        <v>0</v>
      </c>
      <c r="T320" s="156">
        <v>44.92556761621772</v>
      </c>
      <c r="U320" s="156">
        <v>3.4609322809429122</v>
      </c>
      <c r="V320" s="156">
        <v>0</v>
      </c>
      <c r="W320" s="164">
        <v>51.721974787582397</v>
      </c>
    </row>
    <row r="321" spans="1:23" ht="14.4" hidden="1" customHeight="1" outlineLevel="2">
      <c r="A321" s="363"/>
      <c r="B321" s="365"/>
      <c r="C321" s="151" t="str">
        <f t="shared" si="4"/>
        <v>Consommation nette de la branche énergie</v>
      </c>
      <c r="D321" s="270"/>
      <c r="E321" s="159" t="s">
        <v>220</v>
      </c>
      <c r="F321" s="160">
        <v>26.483387169882413</v>
      </c>
      <c r="G321" s="160">
        <v>496.33346259994983</v>
      </c>
      <c r="H321" s="160">
        <v>-461.60533082719172</v>
      </c>
      <c r="I321" s="160">
        <v>-7.5243717289923264</v>
      </c>
      <c r="J321" s="160">
        <v>80.832769187746649</v>
      </c>
      <c r="K321" s="160">
        <v>-0.54092904708810252</v>
      </c>
      <c r="L321" s="160">
        <v>1143.2330909090908</v>
      </c>
      <c r="M321" s="160">
        <v>252.67322417363897</v>
      </c>
      <c r="N321" s="160">
        <v>130.48348472046118</v>
      </c>
      <c r="O321" s="160">
        <v>39.116025643516117</v>
      </c>
      <c r="P321" s="160">
        <v>-35.886574558573926</v>
      </c>
      <c r="Q321" s="160">
        <v>-8.455708809125424</v>
      </c>
      <c r="R321" s="160">
        <v>0</v>
      </c>
      <c r="S321" s="160">
        <v>5.7901868088318658</v>
      </c>
      <c r="T321" s="160">
        <v>-585.49332192471093</v>
      </c>
      <c r="U321" s="160">
        <v>-41.143717436622623</v>
      </c>
      <c r="V321" s="160">
        <v>-4.8257456576806099</v>
      </c>
      <c r="W321" s="160">
        <v>1029.4699312231323</v>
      </c>
    </row>
    <row r="322" spans="1:23" ht="14.4" hidden="1" customHeight="1" outlineLevel="2">
      <c r="A322" s="363"/>
      <c r="B322" s="365"/>
      <c r="C322" s="151">
        <f t="shared" si="4"/>
        <v>0</v>
      </c>
      <c r="D322" s="270"/>
      <c r="E322" s="161"/>
      <c r="F322" s="162">
        <v>0</v>
      </c>
      <c r="G322" s="162">
        <v>0</v>
      </c>
      <c r="H322" s="162">
        <v>0</v>
      </c>
      <c r="I322" s="162"/>
      <c r="J322" s="162"/>
      <c r="K322" s="162"/>
      <c r="L322" s="162">
        <v>0</v>
      </c>
      <c r="M322" s="162">
        <v>0</v>
      </c>
      <c r="N322" s="162">
        <v>0</v>
      </c>
      <c r="O322" s="162">
        <v>0</v>
      </c>
      <c r="P322" s="162">
        <v>0</v>
      </c>
      <c r="Q322" s="162">
        <v>0</v>
      </c>
      <c r="R322" s="162">
        <v>0</v>
      </c>
      <c r="S322" s="162">
        <v>0</v>
      </c>
      <c r="T322" s="162">
        <v>0</v>
      </c>
      <c r="U322" s="162">
        <v>0</v>
      </c>
      <c r="V322" s="162">
        <v>0</v>
      </c>
      <c r="W322" s="162">
        <v>0</v>
      </c>
    </row>
    <row r="323" spans="1:23" ht="14.4" hidden="1" customHeight="1" outlineLevel="2">
      <c r="A323" s="363"/>
      <c r="B323" s="365"/>
      <c r="C323" s="151" t="str">
        <f t="shared" si="4"/>
        <v>Industrie</v>
      </c>
      <c r="D323" s="270"/>
      <c r="E323" s="163" t="s">
        <v>0</v>
      </c>
      <c r="F323" s="156">
        <v>5.5050017452883839</v>
      </c>
      <c r="G323" s="156">
        <v>0</v>
      </c>
      <c r="H323" s="156">
        <v>22.833201823743686</v>
      </c>
      <c r="I323" s="156">
        <v>0</v>
      </c>
      <c r="J323" s="156">
        <v>100.60565608752268</v>
      </c>
      <c r="K323" s="156">
        <v>0</v>
      </c>
      <c r="L323" s="156">
        <v>0</v>
      </c>
      <c r="M323" s="156">
        <v>0</v>
      </c>
      <c r="N323" s="156">
        <v>22.320402542503018</v>
      </c>
      <c r="O323" s="156">
        <v>1.5263147562647177</v>
      </c>
      <c r="P323" s="156">
        <v>1.1206678992422696</v>
      </c>
      <c r="Q323" s="156">
        <v>7.6271641721482535</v>
      </c>
      <c r="R323" s="156">
        <v>1.0558210611343385E-3</v>
      </c>
      <c r="S323" s="156">
        <v>3.8067188808088001E-4</v>
      </c>
      <c r="T323" s="156">
        <v>118.50789587784493</v>
      </c>
      <c r="U323" s="156">
        <v>18.835297974660502</v>
      </c>
      <c r="V323" s="156">
        <v>4.1752392578124997</v>
      </c>
      <c r="W323" s="164">
        <v>303.05827862998018</v>
      </c>
    </row>
    <row r="324" spans="1:23" ht="14.4" hidden="1" customHeight="1" outlineLevel="2">
      <c r="A324" s="363"/>
      <c r="B324" s="365"/>
      <c r="C324" s="151" t="str">
        <f t="shared" si="4"/>
        <v>Transport</v>
      </c>
      <c r="D324" s="270"/>
      <c r="E324" s="163" t="s">
        <v>1</v>
      </c>
      <c r="F324" s="156">
        <v>0</v>
      </c>
      <c r="G324" s="156">
        <v>0</v>
      </c>
      <c r="H324" s="156">
        <v>298.85532146325039</v>
      </c>
      <c r="I324" s="156">
        <v>0.30051668021015521</v>
      </c>
      <c r="J324" s="156">
        <v>7.6619118567408373</v>
      </c>
      <c r="K324" s="156">
        <v>0</v>
      </c>
      <c r="L324" s="156">
        <v>0</v>
      </c>
      <c r="M324" s="156">
        <v>0</v>
      </c>
      <c r="N324" s="156">
        <v>0</v>
      </c>
      <c r="O324" s="156">
        <v>0</v>
      </c>
      <c r="P324" s="156">
        <v>28.222738089042309</v>
      </c>
      <c r="Q324" s="156">
        <v>0.57944646379402054</v>
      </c>
      <c r="R324" s="156">
        <v>0</v>
      </c>
      <c r="S324" s="156">
        <v>0</v>
      </c>
      <c r="T324" s="156">
        <v>56.163134021596207</v>
      </c>
      <c r="U324" s="156">
        <v>0</v>
      </c>
      <c r="V324" s="156">
        <v>0.47808640660864821</v>
      </c>
      <c r="W324" s="164">
        <v>392.26115498124256</v>
      </c>
    </row>
    <row r="325" spans="1:23" ht="14.4" hidden="1" customHeight="1" outlineLevel="2">
      <c r="A325" s="363"/>
      <c r="B325" s="365"/>
      <c r="C325" s="151" t="str">
        <f t="shared" si="4"/>
        <v>Résidentiel</v>
      </c>
      <c r="D325" s="270"/>
      <c r="E325" s="163" t="s">
        <v>221</v>
      </c>
      <c r="F325" s="156">
        <v>0</v>
      </c>
      <c r="G325" s="156">
        <v>0</v>
      </c>
      <c r="H325" s="156">
        <v>6.1566771379534986</v>
      </c>
      <c r="I325" s="156">
        <v>0</v>
      </c>
      <c r="J325" s="156">
        <v>84.430214747387339</v>
      </c>
      <c r="K325" s="156" t="s">
        <v>227</v>
      </c>
      <c r="L325" s="156">
        <v>0</v>
      </c>
      <c r="M325" s="156">
        <v>0</v>
      </c>
      <c r="N325" s="156">
        <v>58.91130700800597</v>
      </c>
      <c r="O325" s="156">
        <v>0</v>
      </c>
      <c r="P325" s="156">
        <v>0</v>
      </c>
      <c r="Q325" s="156">
        <v>6.3851934461634148</v>
      </c>
      <c r="R325" s="156">
        <v>68.107682865247995</v>
      </c>
      <c r="S325" s="156">
        <v>2.3350121458626951</v>
      </c>
      <c r="T325" s="156">
        <v>167.11507848691986</v>
      </c>
      <c r="U325" s="156">
        <v>13.012970281318445</v>
      </c>
      <c r="V325" s="156">
        <v>0</v>
      </c>
      <c r="W325" s="164">
        <v>406.4541361188592</v>
      </c>
    </row>
    <row r="326" spans="1:23" ht="14.4" hidden="1" customHeight="1" outlineLevel="2">
      <c r="A326" s="363"/>
      <c r="B326" s="365"/>
      <c r="C326" s="151" t="str">
        <f t="shared" si="4"/>
        <v>Tertiaire</v>
      </c>
      <c r="D326" s="270"/>
      <c r="E326" s="163" t="s">
        <v>222</v>
      </c>
      <c r="F326" s="156">
        <v>0</v>
      </c>
      <c r="G326" s="156">
        <v>0</v>
      </c>
      <c r="H326" s="156">
        <v>17.434435365050174</v>
      </c>
      <c r="I326" s="156">
        <v>0</v>
      </c>
      <c r="J326" s="156">
        <v>48.732379174633387</v>
      </c>
      <c r="K326" s="156" t="s">
        <v>227</v>
      </c>
      <c r="L326" s="156">
        <v>0</v>
      </c>
      <c r="M326" s="156">
        <v>0</v>
      </c>
      <c r="N326" s="156">
        <v>0.24119868519935778</v>
      </c>
      <c r="O326" s="156">
        <v>2.3333036782749346E-2</v>
      </c>
      <c r="P326" s="156">
        <v>0</v>
      </c>
      <c r="Q326" s="156">
        <v>3.6854776344323881</v>
      </c>
      <c r="R326" s="156">
        <v>21.132698823154065</v>
      </c>
      <c r="S326" s="156">
        <v>1.3427596700225692</v>
      </c>
      <c r="T326" s="156">
        <v>145.74913863487029</v>
      </c>
      <c r="U326" s="156">
        <v>9.2954491806436774</v>
      </c>
      <c r="V326" s="156">
        <v>0</v>
      </c>
      <c r="W326" s="164">
        <v>247.63687020478869</v>
      </c>
    </row>
    <row r="327" spans="1:23" ht="14.4" hidden="1" customHeight="1" outlineLevel="2">
      <c r="A327" s="363"/>
      <c r="B327" s="365"/>
      <c r="C327" s="151" t="str">
        <f t="shared" ref="C327:C390" si="5">IF(ISBLANK(E327),IF(ISBLANK(F327),"",F327),E327)</f>
        <v>Agriculture</v>
      </c>
      <c r="D327" s="270"/>
      <c r="E327" s="163" t="s">
        <v>118</v>
      </c>
      <c r="F327" s="156">
        <v>0</v>
      </c>
      <c r="G327" s="156">
        <v>0</v>
      </c>
      <c r="H327" s="156">
        <v>35.350192304379966</v>
      </c>
      <c r="I327" s="156">
        <v>0</v>
      </c>
      <c r="J327" s="156">
        <v>2.1154931375601502</v>
      </c>
      <c r="K327" s="156">
        <v>0</v>
      </c>
      <c r="L327" s="156">
        <v>0</v>
      </c>
      <c r="M327" s="156">
        <v>0</v>
      </c>
      <c r="N327" s="156">
        <v>1.2408945565024712</v>
      </c>
      <c r="O327" s="156">
        <v>0</v>
      </c>
      <c r="P327" s="156">
        <v>1.8107421729721609</v>
      </c>
      <c r="Q327" s="156">
        <v>0.1599881388169837</v>
      </c>
      <c r="R327" s="156">
        <v>0</v>
      </c>
      <c r="S327" s="156">
        <v>7.8328904674825409E-2</v>
      </c>
      <c r="T327" s="156">
        <v>7.018673566262863</v>
      </c>
      <c r="U327" s="156">
        <v>0</v>
      </c>
      <c r="V327" s="156">
        <v>0</v>
      </c>
      <c r="W327" s="164">
        <v>47.774312781169421</v>
      </c>
    </row>
    <row r="328" spans="1:23" ht="14.4" hidden="1" customHeight="1" outlineLevel="2">
      <c r="A328" s="363"/>
      <c r="B328" s="365"/>
      <c r="C328" s="151" t="str">
        <f t="shared" si="5"/>
        <v>Puits technologiques</v>
      </c>
      <c r="D328" s="270"/>
      <c r="E328" s="163" t="s">
        <v>223</v>
      </c>
      <c r="F328" s="156">
        <v>0</v>
      </c>
      <c r="G328" s="156">
        <v>0</v>
      </c>
      <c r="H328" s="156">
        <v>0</v>
      </c>
      <c r="I328" s="156">
        <v>0</v>
      </c>
      <c r="J328" s="156">
        <v>0</v>
      </c>
      <c r="K328" s="156">
        <v>0</v>
      </c>
      <c r="L328" s="156">
        <v>0</v>
      </c>
      <c r="M328" s="156">
        <v>0</v>
      </c>
      <c r="N328" s="156">
        <v>0</v>
      </c>
      <c r="O328" s="156">
        <v>0</v>
      </c>
      <c r="P328" s="156">
        <v>0</v>
      </c>
      <c r="Q328" s="156">
        <v>0</v>
      </c>
      <c r="R328" s="156">
        <v>0</v>
      </c>
      <c r="S328" s="156">
        <v>0</v>
      </c>
      <c r="T328" s="156">
        <v>5.9999999999999991E-2</v>
      </c>
      <c r="U328" s="156">
        <v>0</v>
      </c>
      <c r="V328" s="156">
        <v>0</v>
      </c>
      <c r="W328" s="164">
        <v>5.9999999999999991E-2</v>
      </c>
    </row>
    <row r="329" spans="1:23" ht="14.4" hidden="1" customHeight="1" outlineLevel="2">
      <c r="A329" s="363"/>
      <c r="B329" s="365"/>
      <c r="C329" s="151" t="str">
        <f t="shared" si="5"/>
        <v>Consommation finale énergétique</v>
      </c>
      <c r="D329" s="270"/>
      <c r="E329" s="159" t="s">
        <v>224</v>
      </c>
      <c r="F329" s="160">
        <v>5.5050017452883839</v>
      </c>
      <c r="G329" s="160">
        <v>0</v>
      </c>
      <c r="H329" s="160">
        <v>380.62982809437761</v>
      </c>
      <c r="I329" s="160">
        <v>0.30051668021015521</v>
      </c>
      <c r="J329" s="160">
        <v>243.54565500384439</v>
      </c>
      <c r="K329" s="160">
        <v>0</v>
      </c>
      <c r="L329" s="160">
        <v>0</v>
      </c>
      <c r="M329" s="160">
        <v>0</v>
      </c>
      <c r="N329" s="160">
        <v>82.713802792210814</v>
      </c>
      <c r="O329" s="160">
        <v>1.549647793047467</v>
      </c>
      <c r="P329" s="160">
        <v>31.154148161256742</v>
      </c>
      <c r="Q329" s="160">
        <v>18.437269855355062</v>
      </c>
      <c r="R329" s="160">
        <v>89.241437509463196</v>
      </c>
      <c r="S329" s="160">
        <v>3.7564813924481708</v>
      </c>
      <c r="T329" s="160">
        <v>494.61392058749408</v>
      </c>
      <c r="U329" s="160">
        <v>41.143717436622623</v>
      </c>
      <c r="V329" s="160">
        <v>4.653325664421148</v>
      </c>
      <c r="W329" s="160">
        <v>1397.2447527160398</v>
      </c>
    </row>
    <row r="330" spans="1:23" ht="14.4" hidden="1" customHeight="1" outlineLevel="2">
      <c r="A330" s="363"/>
      <c r="B330" s="365"/>
      <c r="C330" s="151" t="str">
        <f t="shared" si="5"/>
        <v>Consommation finale non énergétique</v>
      </c>
      <c r="D330" s="270"/>
      <c r="E330" s="155" t="s">
        <v>225</v>
      </c>
      <c r="F330" s="156">
        <v>0</v>
      </c>
      <c r="G330" s="156">
        <v>0</v>
      </c>
      <c r="H330" s="156">
        <v>96.616088292321237</v>
      </c>
      <c r="I330" s="156">
        <v>0</v>
      </c>
      <c r="J330" s="156">
        <v>10.367165033744062</v>
      </c>
      <c r="K330" s="156">
        <v>0</v>
      </c>
      <c r="L330" s="156">
        <v>0</v>
      </c>
      <c r="M330" s="156">
        <v>0</v>
      </c>
      <c r="N330" s="156">
        <v>0</v>
      </c>
      <c r="O330" s="156">
        <v>0</v>
      </c>
      <c r="P330" s="156">
        <v>0</v>
      </c>
      <c r="Q330" s="156">
        <v>0</v>
      </c>
      <c r="R330" s="156">
        <v>0</v>
      </c>
      <c r="S330" s="156">
        <v>0</v>
      </c>
      <c r="T330" s="156">
        <v>0</v>
      </c>
      <c r="U330" s="156">
        <v>0</v>
      </c>
      <c r="V330" s="156">
        <v>0</v>
      </c>
      <c r="W330" s="164">
        <v>106.9832533260653</v>
      </c>
    </row>
    <row r="331" spans="1:23" ht="14.4" hidden="1" customHeight="1" outlineLevel="2">
      <c r="A331" s="363"/>
      <c r="B331" s="365"/>
      <c r="C331" s="151" t="str">
        <f t="shared" si="5"/>
        <v>Consommation finale</v>
      </c>
      <c r="D331" s="270"/>
      <c r="E331" s="159" t="s">
        <v>226</v>
      </c>
      <c r="F331" s="160">
        <v>5.5050017452883839</v>
      </c>
      <c r="G331" s="160">
        <v>0</v>
      </c>
      <c r="H331" s="160">
        <v>477.24591638669892</v>
      </c>
      <c r="I331" s="160">
        <v>0.30051668021015521</v>
      </c>
      <c r="J331" s="160">
        <v>253.91282003758846</v>
      </c>
      <c r="K331" s="160">
        <v>0</v>
      </c>
      <c r="L331" s="160">
        <v>0</v>
      </c>
      <c r="M331" s="160">
        <v>0</v>
      </c>
      <c r="N331" s="160">
        <v>82.713802792210814</v>
      </c>
      <c r="O331" s="160">
        <v>1.549647793047467</v>
      </c>
      <c r="P331" s="160">
        <v>31.203187128998678</v>
      </c>
      <c r="Q331" s="160">
        <v>18.449681518263638</v>
      </c>
      <c r="R331" s="160">
        <v>89.241437509463196</v>
      </c>
      <c r="S331" s="160">
        <v>3.7564813924481708</v>
      </c>
      <c r="T331" s="160">
        <v>494.61392058749408</v>
      </c>
      <c r="U331" s="160">
        <v>41.143717436622623</v>
      </c>
      <c r="V331" s="160">
        <v>4.653325664421148</v>
      </c>
      <c r="W331" s="160">
        <v>1504.2280060421051</v>
      </c>
    </row>
    <row r="332" spans="1:23" outlineLevel="1" collapsed="1">
      <c r="A332" s="363"/>
      <c r="B332" s="365"/>
      <c r="C332" s="151" t="str">
        <f t="shared" si="5"/>
        <v/>
      </c>
      <c r="D332" s="269"/>
      <c r="E332" s="114"/>
      <c r="F332" s="169"/>
      <c r="G332" s="169"/>
      <c r="H332" s="169"/>
      <c r="I332" s="169"/>
      <c r="J332" s="169"/>
      <c r="K332" s="169"/>
      <c r="L332" s="169"/>
      <c r="M332" s="271"/>
      <c r="N332" s="169"/>
      <c r="O332" s="169"/>
      <c r="P332" s="169"/>
      <c r="Q332" s="169"/>
      <c r="R332" s="169"/>
      <c r="S332" s="169"/>
      <c r="T332" s="169"/>
      <c r="U332" s="169"/>
      <c r="V332" s="169"/>
      <c r="W332" s="169"/>
    </row>
    <row r="333" spans="1:23" ht="28.2" outlineLevel="1">
      <c r="A333" s="363"/>
      <c r="B333" s="365"/>
      <c r="C333" s="151">
        <f t="shared" si="5"/>
        <v>2038</v>
      </c>
      <c r="D333" s="269"/>
      <c r="E333" s="654">
        <v>2038</v>
      </c>
      <c r="F333" s="655"/>
      <c r="G333" s="655"/>
      <c r="H333" s="655"/>
      <c r="I333" s="655"/>
      <c r="J333" s="655"/>
      <c r="K333" s="655"/>
      <c r="L333" s="656"/>
      <c r="M333" s="272"/>
      <c r="N333" s="273"/>
      <c r="O333" s="273"/>
      <c r="P333" s="273"/>
      <c r="Q333" s="273"/>
      <c r="R333" s="273"/>
      <c r="S333" s="273"/>
      <c r="T333" s="273"/>
      <c r="U333" s="273"/>
      <c r="V333" s="273"/>
      <c r="W333" s="273"/>
    </row>
    <row r="334" spans="1:23" ht="14.4" hidden="1" customHeight="1" outlineLevel="2">
      <c r="A334" s="363"/>
      <c r="B334" s="365"/>
      <c r="C334" s="151" t="str">
        <f t="shared" si="5"/>
        <v>TWh</v>
      </c>
      <c r="D334" s="269"/>
      <c r="E334" s="662" t="s">
        <v>184</v>
      </c>
      <c r="F334" s="659" t="s">
        <v>185</v>
      </c>
      <c r="G334" s="659" t="s">
        <v>186</v>
      </c>
      <c r="H334" s="659" t="s">
        <v>187</v>
      </c>
      <c r="I334" s="657" t="s">
        <v>188</v>
      </c>
      <c r="J334" s="657" t="s">
        <v>189</v>
      </c>
      <c r="K334" s="657" t="s">
        <v>190</v>
      </c>
      <c r="L334" s="659" t="s">
        <v>191</v>
      </c>
      <c r="M334" s="659" t="s">
        <v>192</v>
      </c>
      <c r="N334" s="659" t="s">
        <v>193</v>
      </c>
      <c r="O334" s="660"/>
      <c r="P334" s="660"/>
      <c r="Q334" s="660"/>
      <c r="R334" s="660"/>
      <c r="S334" s="661"/>
      <c r="T334" s="657" t="s">
        <v>194</v>
      </c>
      <c r="U334" s="657" t="s">
        <v>195</v>
      </c>
      <c r="V334" s="657" t="s">
        <v>196</v>
      </c>
      <c r="W334" s="657" t="s">
        <v>144</v>
      </c>
    </row>
    <row r="335" spans="1:23" ht="36" hidden="1" customHeight="1" outlineLevel="2">
      <c r="A335" s="363"/>
      <c r="B335" s="365"/>
      <c r="C335" s="151" t="str">
        <f t="shared" si="5"/>
        <v/>
      </c>
      <c r="D335" s="270"/>
      <c r="E335" s="662"/>
      <c r="F335" s="659"/>
      <c r="G335" s="659"/>
      <c r="H335" s="659"/>
      <c r="I335" s="658"/>
      <c r="J335" s="658"/>
      <c r="K335" s="658"/>
      <c r="L335" s="659"/>
      <c r="M335" s="659"/>
      <c r="N335" s="153" t="s">
        <v>197</v>
      </c>
      <c r="O335" s="153" t="s">
        <v>24</v>
      </c>
      <c r="P335" s="153" t="s">
        <v>198</v>
      </c>
      <c r="Q335" s="153" t="s">
        <v>199</v>
      </c>
      <c r="R335" s="154" t="s">
        <v>200</v>
      </c>
      <c r="S335" s="153" t="s">
        <v>201</v>
      </c>
      <c r="T335" s="658"/>
      <c r="U335" s="658"/>
      <c r="V335" s="658"/>
      <c r="W335" s="658"/>
    </row>
    <row r="336" spans="1:23" ht="14.4" hidden="1" customHeight="1" outlineLevel="2">
      <c r="A336" s="363"/>
      <c r="B336" s="365"/>
      <c r="C336" s="151" t="str">
        <f t="shared" si="5"/>
        <v>Production d'énergie primaire</v>
      </c>
      <c r="D336" s="270"/>
      <c r="E336" s="155" t="s">
        <v>202</v>
      </c>
      <c r="F336" s="156">
        <v>0</v>
      </c>
      <c r="G336" s="156">
        <v>1.9073199999999999</v>
      </c>
      <c r="H336" s="156">
        <v>0</v>
      </c>
      <c r="I336" s="156">
        <v>0</v>
      </c>
      <c r="J336" s="156">
        <v>3.9542000000000008E-2</v>
      </c>
      <c r="K336" s="156">
        <v>0</v>
      </c>
      <c r="L336" s="157">
        <v>1165.8657454545453</v>
      </c>
      <c r="M336" s="157">
        <v>282.89646194008299</v>
      </c>
      <c r="N336" s="165">
        <v>229.73384912126232</v>
      </c>
      <c r="O336" s="157">
        <v>41.35392452868026</v>
      </c>
      <c r="P336" s="156">
        <v>0.65013078520293843</v>
      </c>
      <c r="Q336" s="156">
        <v>0.16635148516974718</v>
      </c>
      <c r="R336" s="157">
        <v>94.655178734203048</v>
      </c>
      <c r="S336" s="157">
        <v>12.025986041676415</v>
      </c>
      <c r="T336" s="156">
        <v>0</v>
      </c>
      <c r="U336" s="156">
        <v>0</v>
      </c>
      <c r="V336" s="156">
        <v>0</v>
      </c>
      <c r="W336" s="158">
        <v>1829.294490090823</v>
      </c>
    </row>
    <row r="337" spans="1:23" ht="14.4" hidden="1" customHeight="1" outlineLevel="2">
      <c r="A337" s="363"/>
      <c r="B337" s="365"/>
      <c r="C337" s="151" t="str">
        <f t="shared" si="5"/>
        <v>Importations</v>
      </c>
      <c r="D337" s="270"/>
      <c r="E337" s="155" t="s">
        <v>203</v>
      </c>
      <c r="F337" s="156">
        <v>32.135416889092099</v>
      </c>
      <c r="G337" s="156">
        <v>493.99872605796651</v>
      </c>
      <c r="H337" s="156">
        <v>30.686400057380411</v>
      </c>
      <c r="I337" s="157">
        <v>0</v>
      </c>
      <c r="J337" s="157">
        <v>336.13057360567177</v>
      </c>
      <c r="K337" s="157">
        <v>0</v>
      </c>
      <c r="L337" s="156">
        <v>0</v>
      </c>
      <c r="M337" s="156">
        <v>0</v>
      </c>
      <c r="N337" s="156">
        <v>4.9162503984024681</v>
      </c>
      <c r="O337" s="156">
        <v>0</v>
      </c>
      <c r="P337" s="156">
        <v>6.7999216054392786</v>
      </c>
      <c r="Q337" s="156">
        <v>9.4246783138327643</v>
      </c>
      <c r="R337" s="156">
        <v>0</v>
      </c>
      <c r="S337" s="156">
        <v>0</v>
      </c>
      <c r="T337" s="156">
        <v>0</v>
      </c>
      <c r="U337" s="156">
        <v>0</v>
      </c>
      <c r="V337" s="156">
        <v>0</v>
      </c>
      <c r="W337" s="158">
        <v>914.09196692778528</v>
      </c>
    </row>
    <row r="338" spans="1:23" ht="14.4" hidden="1" customHeight="1" outlineLevel="2">
      <c r="A338" s="363"/>
      <c r="B338" s="365"/>
      <c r="C338" s="151" t="str">
        <f t="shared" si="5"/>
        <v>Exportations</v>
      </c>
      <c r="D338" s="270"/>
      <c r="E338" s="155" t="s">
        <v>204</v>
      </c>
      <c r="F338" s="156">
        <v>0</v>
      </c>
      <c r="G338" s="156">
        <v>0</v>
      </c>
      <c r="H338" s="156">
        <v>-1.2422217885502547</v>
      </c>
      <c r="I338" s="157">
        <v>-4.4822243716068364</v>
      </c>
      <c r="J338" s="157">
        <v>0</v>
      </c>
      <c r="K338" s="157">
        <v>0</v>
      </c>
      <c r="L338" s="156">
        <v>0</v>
      </c>
      <c r="M338" s="156">
        <v>0</v>
      </c>
      <c r="N338" s="156">
        <v>-19.47158901191608</v>
      </c>
      <c r="O338" s="156">
        <v>0</v>
      </c>
      <c r="P338" s="156">
        <v>0</v>
      </c>
      <c r="Q338" s="156">
        <v>0</v>
      </c>
      <c r="R338" s="156">
        <v>0</v>
      </c>
      <c r="S338" s="156">
        <v>0</v>
      </c>
      <c r="T338" s="156">
        <v>-87.591487140638606</v>
      </c>
      <c r="U338" s="156">
        <v>0</v>
      </c>
      <c r="V338" s="156">
        <v>0</v>
      </c>
      <c r="W338" s="158">
        <v>-112.78752231271177</v>
      </c>
    </row>
    <row r="339" spans="1:23" ht="14.4" hidden="1" customHeight="1" outlineLevel="2">
      <c r="A339" s="363"/>
      <c r="B339" s="365"/>
      <c r="C339" s="151" t="str">
        <f t="shared" si="5"/>
        <v>Soutes maritimes internationales</v>
      </c>
      <c r="D339" s="270"/>
      <c r="E339" s="155" t="s">
        <v>205</v>
      </c>
      <c r="F339" s="156">
        <v>0</v>
      </c>
      <c r="G339" s="156">
        <v>0</v>
      </c>
      <c r="H339" s="156">
        <v>-8.3707160635369586</v>
      </c>
      <c r="I339" s="156">
        <v>-1.0840556083993855</v>
      </c>
      <c r="J339" s="156">
        <v>-1.5540089944574589</v>
      </c>
      <c r="K339" s="156">
        <v>-1.0405793633187679</v>
      </c>
      <c r="L339" s="156">
        <v>0</v>
      </c>
      <c r="M339" s="156">
        <v>0</v>
      </c>
      <c r="N339" s="156">
        <v>0</v>
      </c>
      <c r="O339" s="156">
        <v>0</v>
      </c>
      <c r="P339" s="156">
        <v>-1.0591524953329932</v>
      </c>
      <c r="Q339" s="156">
        <v>-1.4986880865124239</v>
      </c>
      <c r="R339" s="156">
        <v>0</v>
      </c>
      <c r="S339" s="156">
        <v>0</v>
      </c>
      <c r="T339" s="156">
        <v>0</v>
      </c>
      <c r="U339" s="156">
        <v>0</v>
      </c>
      <c r="V339" s="156">
        <v>-0.16058757017426112</v>
      </c>
      <c r="W339" s="158">
        <v>-14.767788181732248</v>
      </c>
    </row>
    <row r="340" spans="1:23" ht="14.4" hidden="1" customHeight="1" outlineLevel="2">
      <c r="A340" s="363"/>
      <c r="B340" s="365"/>
      <c r="C340" s="151" t="str">
        <f t="shared" si="5"/>
        <v>Soutes aériennes internationales</v>
      </c>
      <c r="D340" s="270"/>
      <c r="E340" s="155" t="s">
        <v>206</v>
      </c>
      <c r="F340" s="156">
        <v>0</v>
      </c>
      <c r="G340" s="156">
        <v>0</v>
      </c>
      <c r="H340" s="156">
        <v>-61.14256379787583</v>
      </c>
      <c r="I340" s="156">
        <v>-6.3444907393714063</v>
      </c>
      <c r="J340" s="156">
        <v>0</v>
      </c>
      <c r="K340" s="156">
        <v>0</v>
      </c>
      <c r="L340" s="156">
        <v>0</v>
      </c>
      <c r="M340" s="156">
        <v>0</v>
      </c>
      <c r="N340" s="156">
        <v>0</v>
      </c>
      <c r="O340" s="156">
        <v>0</v>
      </c>
      <c r="P340" s="156">
        <v>-14.796673050230984</v>
      </c>
      <c r="Q340" s="156">
        <v>0</v>
      </c>
      <c r="R340" s="156">
        <v>0</v>
      </c>
      <c r="S340" s="156">
        <v>0</v>
      </c>
      <c r="T340" s="156">
        <v>0</v>
      </c>
      <c r="U340" s="156">
        <v>0</v>
      </c>
      <c r="V340" s="156">
        <v>-0.26837638502688493</v>
      </c>
      <c r="W340" s="158">
        <v>-82.552103972505094</v>
      </c>
    </row>
    <row r="341" spans="1:23" ht="14.4" hidden="1" customHeight="1" outlineLevel="2">
      <c r="A341" s="363"/>
      <c r="B341" s="365"/>
      <c r="C341" s="151" t="str">
        <f t="shared" si="5"/>
        <v>Variations de stocks (+ = déstockage, - = stockage)</v>
      </c>
      <c r="D341" s="270"/>
      <c r="E341" s="155" t="s">
        <v>207</v>
      </c>
      <c r="F341" s="156">
        <v>0</v>
      </c>
      <c r="G341" s="156">
        <v>0</v>
      </c>
      <c r="H341" s="156">
        <v>0</v>
      </c>
      <c r="I341" s="157">
        <v>0</v>
      </c>
      <c r="J341" s="157">
        <v>0</v>
      </c>
      <c r="K341" s="157">
        <v>0</v>
      </c>
      <c r="L341" s="156">
        <v>0</v>
      </c>
      <c r="M341" s="156">
        <v>0</v>
      </c>
      <c r="N341" s="156">
        <v>0</v>
      </c>
      <c r="O341" s="156">
        <v>0</v>
      </c>
      <c r="P341" s="156">
        <v>0</v>
      </c>
      <c r="Q341" s="156">
        <v>0</v>
      </c>
      <c r="R341" s="156">
        <v>0</v>
      </c>
      <c r="S341" s="156">
        <v>0</v>
      </c>
      <c r="T341" s="156">
        <v>0</v>
      </c>
      <c r="U341" s="156">
        <v>0</v>
      </c>
      <c r="V341" s="156">
        <v>0</v>
      </c>
      <c r="W341" s="158">
        <v>0</v>
      </c>
    </row>
    <row r="342" spans="1:23" ht="14.4" hidden="1" customHeight="1" outlineLevel="2">
      <c r="A342" s="363"/>
      <c r="B342" s="365"/>
      <c r="C342" s="151" t="str">
        <f t="shared" si="5"/>
        <v>Total approvisionnement / consommation primaire</v>
      </c>
      <c r="D342" s="270"/>
      <c r="E342" s="159" t="s">
        <v>208</v>
      </c>
      <c r="F342" s="160">
        <v>32.135416889092099</v>
      </c>
      <c r="G342" s="160">
        <v>495.90604605796653</v>
      </c>
      <c r="H342" s="160">
        <v>-40.069101592582641</v>
      </c>
      <c r="I342" s="160">
        <v>-11.910770719377627</v>
      </c>
      <c r="J342" s="160">
        <v>334.61610661121432</v>
      </c>
      <c r="K342" s="160">
        <v>-1.0405793633187679</v>
      </c>
      <c r="L342" s="160">
        <v>1165.8657454545453</v>
      </c>
      <c r="M342" s="160">
        <v>282.89646194008299</v>
      </c>
      <c r="N342" s="160">
        <v>215.17851050774871</v>
      </c>
      <c r="O342" s="160">
        <v>41.35392452868026</v>
      </c>
      <c r="P342" s="160">
        <v>-8.4057731549217607</v>
      </c>
      <c r="Q342" s="160">
        <v>8.0923417124900876</v>
      </c>
      <c r="R342" s="160">
        <v>94.655178734203048</v>
      </c>
      <c r="S342" s="160">
        <v>12.025986041676415</v>
      </c>
      <c r="T342" s="160">
        <v>-87.591487140638606</v>
      </c>
      <c r="U342" s="160">
        <v>0</v>
      </c>
      <c r="V342" s="160">
        <v>-0.42896395520114605</v>
      </c>
      <c r="W342" s="160">
        <v>2533.2790425516596</v>
      </c>
    </row>
    <row r="343" spans="1:23" ht="14.4" hidden="1" customHeight="1" outlineLevel="2">
      <c r="A343" s="363"/>
      <c r="B343" s="365"/>
      <c r="C343" s="151">
        <f t="shared" si="5"/>
        <v>0</v>
      </c>
      <c r="D343" s="270"/>
      <c r="E343" s="161"/>
      <c r="F343" s="162">
        <v>0</v>
      </c>
      <c r="G343" s="162">
        <v>0</v>
      </c>
      <c r="H343" s="162">
        <v>0</v>
      </c>
      <c r="I343" s="162"/>
      <c r="J343" s="162"/>
      <c r="K343" s="162"/>
      <c r="L343" s="162">
        <v>0</v>
      </c>
      <c r="M343" s="162">
        <v>0</v>
      </c>
      <c r="N343" s="162">
        <v>0</v>
      </c>
      <c r="O343" s="162">
        <v>0</v>
      </c>
      <c r="P343" s="162">
        <v>0</v>
      </c>
      <c r="Q343" s="162">
        <v>0</v>
      </c>
      <c r="R343" s="162">
        <v>0</v>
      </c>
      <c r="S343" s="162">
        <v>0</v>
      </c>
      <c r="T343" s="162">
        <v>0</v>
      </c>
      <c r="U343" s="162">
        <v>0</v>
      </c>
      <c r="V343" s="162">
        <v>0</v>
      </c>
      <c r="W343" s="162">
        <v>0</v>
      </c>
    </row>
    <row r="344" spans="1:23" ht="14.4" hidden="1" customHeight="1" outlineLevel="2">
      <c r="A344" s="363"/>
      <c r="B344" s="365"/>
      <c r="C344" s="151" t="str">
        <f t="shared" si="5"/>
        <v>Écart statistique</v>
      </c>
      <c r="D344" s="270"/>
      <c r="E344" s="163" t="s">
        <v>209</v>
      </c>
      <c r="F344" s="156">
        <v>0</v>
      </c>
      <c r="G344" s="156">
        <v>0</v>
      </c>
      <c r="H344" s="156">
        <v>0</v>
      </c>
      <c r="I344" s="156">
        <v>0</v>
      </c>
      <c r="J344" s="156">
        <v>0</v>
      </c>
      <c r="K344" s="156">
        <v>0</v>
      </c>
      <c r="L344" s="156">
        <v>0</v>
      </c>
      <c r="M344" s="156">
        <v>0</v>
      </c>
      <c r="N344" s="156">
        <v>0</v>
      </c>
      <c r="O344" s="156">
        <v>0</v>
      </c>
      <c r="P344" s="156">
        <v>0</v>
      </c>
      <c r="Q344" s="156">
        <v>0</v>
      </c>
      <c r="R344" s="156">
        <v>0</v>
      </c>
      <c r="S344" s="156">
        <v>0</v>
      </c>
      <c r="T344" s="156">
        <v>0</v>
      </c>
      <c r="U344" s="156">
        <v>0</v>
      </c>
      <c r="V344" s="156">
        <v>0</v>
      </c>
      <c r="W344" s="164">
        <v>0</v>
      </c>
    </row>
    <row r="345" spans="1:23" ht="14.4" hidden="1" customHeight="1" outlineLevel="2">
      <c r="A345" s="363"/>
      <c r="B345" s="365"/>
      <c r="C345" s="151" t="str">
        <f t="shared" si="5"/>
        <v>Production d'électricité</v>
      </c>
      <c r="D345" s="270"/>
      <c r="E345" s="163" t="s">
        <v>13</v>
      </c>
      <c r="F345" s="156">
        <v>0.65592916206991536</v>
      </c>
      <c r="G345" s="156">
        <v>0</v>
      </c>
      <c r="H345" s="156">
        <v>6.2826415148633767</v>
      </c>
      <c r="I345" s="156">
        <v>0</v>
      </c>
      <c r="J345" s="156">
        <v>47.157894736842096</v>
      </c>
      <c r="K345" s="156">
        <v>0</v>
      </c>
      <c r="L345" s="156">
        <v>1165.8657454545453</v>
      </c>
      <c r="M345" s="156">
        <v>282.89646194008299</v>
      </c>
      <c r="N345" s="156">
        <v>26.705648094424802</v>
      </c>
      <c r="O345" s="156">
        <v>6.8597850558667011</v>
      </c>
      <c r="P345" s="156">
        <v>3.4414027694567624</v>
      </c>
      <c r="Q345" s="156">
        <v>5.6071960783354173</v>
      </c>
      <c r="R345" s="156">
        <v>0</v>
      </c>
      <c r="S345" s="156">
        <v>5.6692110489559724</v>
      </c>
      <c r="T345" s="156">
        <v>-716.12968366325606</v>
      </c>
      <c r="U345" s="156">
        <v>0</v>
      </c>
      <c r="V345" s="156">
        <v>0</v>
      </c>
      <c r="W345" s="164">
        <v>835.0122321921873</v>
      </c>
    </row>
    <row r="346" spans="1:23" ht="14.4" hidden="1" customHeight="1" outlineLevel="2">
      <c r="A346" s="363"/>
      <c r="B346" s="365"/>
      <c r="C346" s="151" t="str">
        <f t="shared" si="5"/>
        <v>Production de chaleur</v>
      </c>
      <c r="D346" s="270"/>
      <c r="E346" s="163" t="s">
        <v>210</v>
      </c>
      <c r="F346" s="156">
        <v>0</v>
      </c>
      <c r="G346" s="156">
        <v>0</v>
      </c>
      <c r="H346" s="156">
        <v>0</v>
      </c>
      <c r="I346" s="156">
        <v>0</v>
      </c>
      <c r="J346" s="156">
        <v>14.878101147735663</v>
      </c>
      <c r="K346" s="156">
        <v>0</v>
      </c>
      <c r="L346" s="156">
        <v>0</v>
      </c>
      <c r="M346" s="156">
        <v>0</v>
      </c>
      <c r="N346" s="156">
        <v>14.538910939782756</v>
      </c>
      <c r="O346" s="156">
        <v>13.813358000525835</v>
      </c>
      <c r="P346" s="156">
        <v>0</v>
      </c>
      <c r="Q346" s="156">
        <v>2.5577890999252881</v>
      </c>
      <c r="R346" s="156">
        <v>0</v>
      </c>
      <c r="S346" s="156">
        <v>2.523639933565069</v>
      </c>
      <c r="T346" s="156">
        <v>0</v>
      </c>
      <c r="U346" s="156">
        <v>-44.019013779589052</v>
      </c>
      <c r="V346" s="156">
        <v>0</v>
      </c>
      <c r="W346" s="164">
        <v>4.2927853419455575</v>
      </c>
    </row>
    <row r="347" spans="1:23" ht="14.4" hidden="1" customHeight="1" outlineLevel="2">
      <c r="A347" s="363"/>
      <c r="B347" s="365"/>
      <c r="C347" s="151" t="str">
        <f t="shared" si="5"/>
        <v>Production de gaz renouvelable</v>
      </c>
      <c r="D347" s="270"/>
      <c r="E347" s="163" t="s">
        <v>211</v>
      </c>
      <c r="F347" s="156">
        <v>0</v>
      </c>
      <c r="G347" s="156">
        <v>0</v>
      </c>
      <c r="H347" s="156">
        <v>0</v>
      </c>
      <c r="I347" s="156">
        <v>0</v>
      </c>
      <c r="J347" s="156">
        <v>0</v>
      </c>
      <c r="K347" s="156">
        <v>0</v>
      </c>
      <c r="L347" s="156">
        <v>0</v>
      </c>
      <c r="M347" s="156">
        <v>0</v>
      </c>
      <c r="N347" s="156">
        <v>28.139207995209365</v>
      </c>
      <c r="O347" s="156">
        <v>11.566024817163546</v>
      </c>
      <c r="P347" s="156">
        <v>0</v>
      </c>
      <c r="Q347" s="156">
        <v>-19.852616406186456</v>
      </c>
      <c r="R347" s="156">
        <v>0</v>
      </c>
      <c r="S347" s="156">
        <v>0</v>
      </c>
      <c r="T347" s="156">
        <v>0</v>
      </c>
      <c r="U347" s="156">
        <v>0</v>
      </c>
      <c r="V347" s="156">
        <v>0</v>
      </c>
      <c r="W347" s="164">
        <v>19.852616406186456</v>
      </c>
    </row>
    <row r="348" spans="1:23" ht="14.4" hidden="1" customHeight="1" outlineLevel="2">
      <c r="A348" s="363"/>
      <c r="B348" s="365"/>
      <c r="C348" s="151" t="str">
        <f t="shared" si="5"/>
        <v>Production de gaz de synthèse</v>
      </c>
      <c r="D348" s="270"/>
      <c r="E348" s="163" t="s">
        <v>212</v>
      </c>
      <c r="F348" s="156">
        <v>0</v>
      </c>
      <c r="G348" s="156">
        <v>0</v>
      </c>
      <c r="H348" s="156">
        <v>0</v>
      </c>
      <c r="I348" s="156">
        <v>0</v>
      </c>
      <c r="J348" s="156">
        <v>0</v>
      </c>
      <c r="K348" s="156">
        <v>-1.0405793633187679</v>
      </c>
      <c r="L348" s="156">
        <v>0</v>
      </c>
      <c r="M348" s="156">
        <v>0</v>
      </c>
      <c r="N348" s="156">
        <v>0</v>
      </c>
      <c r="O348" s="156">
        <v>0</v>
      </c>
      <c r="P348" s="156">
        <v>0</v>
      </c>
      <c r="Q348" s="156">
        <v>0</v>
      </c>
      <c r="R348" s="156">
        <v>0</v>
      </c>
      <c r="S348" s="156">
        <v>0</v>
      </c>
      <c r="T348" s="156">
        <v>0</v>
      </c>
      <c r="U348" s="156">
        <v>0</v>
      </c>
      <c r="V348" s="156">
        <v>0</v>
      </c>
      <c r="W348" s="164">
        <v>-1.0405793633187679</v>
      </c>
    </row>
    <row r="349" spans="1:23" ht="14.4" hidden="1" customHeight="1" outlineLevel="2">
      <c r="A349" s="363"/>
      <c r="B349" s="365"/>
      <c r="C349" s="151" t="str">
        <f t="shared" si="5"/>
        <v>Raffinage de pétrole</v>
      </c>
      <c r="D349" s="270"/>
      <c r="E349" s="163" t="s">
        <v>213</v>
      </c>
      <c r="F349" s="156">
        <v>0</v>
      </c>
      <c r="G349" s="156">
        <v>513.87085878887297</v>
      </c>
      <c r="H349" s="156">
        <v>-508.74806124516175</v>
      </c>
      <c r="I349" s="156">
        <v>0</v>
      </c>
      <c r="J349" s="156">
        <v>0</v>
      </c>
      <c r="K349" s="156">
        <v>0</v>
      </c>
      <c r="L349" s="156">
        <v>0</v>
      </c>
      <c r="M349" s="156">
        <v>0</v>
      </c>
      <c r="N349" s="156">
        <v>0</v>
      </c>
      <c r="O349" s="156">
        <v>0</v>
      </c>
      <c r="P349" s="156">
        <v>0</v>
      </c>
      <c r="Q349" s="156">
        <v>0</v>
      </c>
      <c r="R349" s="156">
        <v>0</v>
      </c>
      <c r="S349" s="156">
        <v>0</v>
      </c>
      <c r="T349" s="156">
        <v>0</v>
      </c>
      <c r="U349" s="156">
        <v>0</v>
      </c>
      <c r="V349" s="156">
        <v>0</v>
      </c>
      <c r="W349" s="164">
        <v>5.1227975437112452</v>
      </c>
    </row>
    <row r="350" spans="1:23" ht="14.4" hidden="1" customHeight="1" outlineLevel="2">
      <c r="A350" s="363"/>
      <c r="B350" s="365"/>
      <c r="C350" s="151" t="str">
        <f t="shared" si="5"/>
        <v>Production de biocarburants</v>
      </c>
      <c r="D350" s="270"/>
      <c r="E350" s="163" t="s">
        <v>214</v>
      </c>
      <c r="F350" s="156">
        <v>0</v>
      </c>
      <c r="G350" s="156">
        <v>0</v>
      </c>
      <c r="H350" s="156">
        <v>0</v>
      </c>
      <c r="I350" s="156">
        <v>0</v>
      </c>
      <c r="J350" s="156">
        <v>0</v>
      </c>
      <c r="K350" s="156">
        <v>0</v>
      </c>
      <c r="L350" s="156">
        <v>0</v>
      </c>
      <c r="M350" s="156">
        <v>0</v>
      </c>
      <c r="N350" s="156">
        <v>62.634676927542017</v>
      </c>
      <c r="O350" s="156">
        <v>7.2727272727272725</v>
      </c>
      <c r="P350" s="156">
        <v>-38.449072310148111</v>
      </c>
      <c r="Q350" s="156">
        <v>0</v>
      </c>
      <c r="R350" s="156">
        <v>0</v>
      </c>
      <c r="S350" s="156">
        <v>0</v>
      </c>
      <c r="T350" s="156">
        <v>0</v>
      </c>
      <c r="U350" s="156">
        <v>0</v>
      </c>
      <c r="V350" s="156">
        <v>0</v>
      </c>
      <c r="W350" s="164">
        <v>31.458331890121173</v>
      </c>
    </row>
    <row r="351" spans="1:23" ht="14.4" hidden="1" customHeight="1" outlineLevel="2">
      <c r="A351" s="363"/>
      <c r="B351" s="365"/>
      <c r="C351" s="151" t="str">
        <f t="shared" si="5"/>
        <v>Production d'e-fuels</v>
      </c>
      <c r="D351" s="270"/>
      <c r="E351" s="163" t="s">
        <v>215</v>
      </c>
      <c r="F351" s="156">
        <v>0</v>
      </c>
      <c r="G351" s="156">
        <v>0</v>
      </c>
      <c r="H351" s="156">
        <v>0</v>
      </c>
      <c r="I351" s="156">
        <v>-12.369511066680493</v>
      </c>
      <c r="J351" s="156">
        <v>0</v>
      </c>
      <c r="K351" s="156">
        <v>0</v>
      </c>
      <c r="L351" s="156">
        <v>0</v>
      </c>
      <c r="M351" s="156">
        <v>0</v>
      </c>
      <c r="N351" s="156">
        <v>0</v>
      </c>
      <c r="O351" s="156">
        <v>0</v>
      </c>
      <c r="P351" s="156">
        <v>0</v>
      </c>
      <c r="Q351" s="156">
        <v>0</v>
      </c>
      <c r="R351" s="156">
        <v>0</v>
      </c>
      <c r="S351" s="156">
        <v>0</v>
      </c>
      <c r="T351" s="156">
        <v>0</v>
      </c>
      <c r="U351" s="156">
        <v>0</v>
      </c>
      <c r="V351" s="156">
        <v>17.227731290641355</v>
      </c>
      <c r="W351" s="164">
        <v>4.8582202239608616</v>
      </c>
    </row>
    <row r="352" spans="1:23" ht="14.4" hidden="1" customHeight="1" outlineLevel="2">
      <c r="A352" s="363"/>
      <c r="B352" s="365"/>
      <c r="C352" s="151" t="str">
        <f t="shared" si="5"/>
        <v>Production d'hydrogène</v>
      </c>
      <c r="D352" s="270"/>
      <c r="E352" s="163" t="s">
        <v>216</v>
      </c>
      <c r="F352" s="156">
        <v>0</v>
      </c>
      <c r="G352" s="156">
        <v>0</v>
      </c>
      <c r="H352" s="156">
        <v>0</v>
      </c>
      <c r="I352" s="156">
        <v>0</v>
      </c>
      <c r="J352" s="156">
        <v>15.398587058832685</v>
      </c>
      <c r="K352" s="156">
        <v>0</v>
      </c>
      <c r="L352" s="156">
        <v>0</v>
      </c>
      <c r="M352" s="156">
        <v>0</v>
      </c>
      <c r="N352" s="156">
        <v>0</v>
      </c>
      <c r="O352" s="156">
        <v>0.3311910905843371</v>
      </c>
      <c r="P352" s="156">
        <v>0</v>
      </c>
      <c r="Q352" s="156">
        <v>1.1609674703841677</v>
      </c>
      <c r="R352" s="156">
        <v>0</v>
      </c>
      <c r="S352" s="156">
        <v>0</v>
      </c>
      <c r="T352" s="156">
        <v>16.754947503012922</v>
      </c>
      <c r="U352" s="156">
        <v>0</v>
      </c>
      <c r="V352" s="156">
        <v>-23.183376340903596</v>
      </c>
      <c r="W352" s="164">
        <v>10.462316781910513</v>
      </c>
    </row>
    <row r="353" spans="1:23" ht="14.4" hidden="1" customHeight="1" outlineLevel="2">
      <c r="A353" s="363"/>
      <c r="B353" s="365"/>
      <c r="C353" s="151" t="str">
        <f t="shared" si="5"/>
        <v>Autres transformations, transferts</v>
      </c>
      <c r="D353" s="270"/>
      <c r="E353" s="163" t="s">
        <v>217</v>
      </c>
      <c r="F353" s="156">
        <v>18.7031390625</v>
      </c>
      <c r="G353" s="156">
        <v>-17.964812730906417</v>
      </c>
      <c r="H353" s="156">
        <v>23.634246757130178</v>
      </c>
      <c r="I353" s="156">
        <v>0</v>
      </c>
      <c r="J353" s="156">
        <v>0</v>
      </c>
      <c r="K353" s="156">
        <v>0</v>
      </c>
      <c r="L353" s="156">
        <v>0</v>
      </c>
      <c r="M353" s="156">
        <v>0</v>
      </c>
      <c r="N353" s="156">
        <v>0</v>
      </c>
      <c r="O353" s="156">
        <v>0</v>
      </c>
      <c r="P353" s="156">
        <v>0</v>
      </c>
      <c r="Q353" s="156">
        <v>0</v>
      </c>
      <c r="R353" s="156">
        <v>0</v>
      </c>
      <c r="S353" s="156">
        <v>0</v>
      </c>
      <c r="T353" s="156">
        <v>0</v>
      </c>
      <c r="U353" s="156">
        <v>0</v>
      </c>
      <c r="V353" s="156">
        <v>0</v>
      </c>
      <c r="W353" s="164">
        <v>24.372573088723762</v>
      </c>
    </row>
    <row r="354" spans="1:23" ht="14.4" hidden="1" customHeight="1" outlineLevel="2">
      <c r="A354" s="363"/>
      <c r="B354" s="365"/>
      <c r="C354" s="151" t="str">
        <f t="shared" si="5"/>
        <v>Usages internes de la branche énergie</v>
      </c>
      <c r="D354" s="270"/>
      <c r="E354" s="163" t="s">
        <v>218</v>
      </c>
      <c r="F354" s="156">
        <v>7.2734429687500004</v>
      </c>
      <c r="G354" s="156">
        <v>0</v>
      </c>
      <c r="H354" s="156">
        <v>17.618324347828164</v>
      </c>
      <c r="I354" s="156">
        <v>0</v>
      </c>
      <c r="J354" s="156">
        <v>4.7048598793395424</v>
      </c>
      <c r="K354" s="156">
        <v>0</v>
      </c>
      <c r="L354" s="156">
        <v>0</v>
      </c>
      <c r="M354" s="156">
        <v>0</v>
      </c>
      <c r="N354" s="156">
        <v>0</v>
      </c>
      <c r="O354" s="156">
        <v>0</v>
      </c>
      <c r="P354" s="156">
        <v>0</v>
      </c>
      <c r="Q354" s="156">
        <v>0.35472016047703919</v>
      </c>
      <c r="R354" s="156">
        <v>0</v>
      </c>
      <c r="S354" s="156">
        <v>0</v>
      </c>
      <c r="T354" s="156">
        <v>36.567725390985466</v>
      </c>
      <c r="U354" s="156">
        <v>0</v>
      </c>
      <c r="V354" s="156">
        <v>0</v>
      </c>
      <c r="W354" s="164">
        <v>66.519072747380221</v>
      </c>
    </row>
    <row r="355" spans="1:23" ht="14.4" hidden="1" customHeight="1" outlineLevel="2">
      <c r="A355" s="363"/>
      <c r="B355" s="365"/>
      <c r="C355" s="151" t="str">
        <f t="shared" si="5"/>
        <v>Pertes de transport et de distribution</v>
      </c>
      <c r="D355" s="270"/>
      <c r="E355" s="163" t="s">
        <v>219</v>
      </c>
      <c r="F355" s="156">
        <v>0</v>
      </c>
      <c r="G355" s="156">
        <v>0</v>
      </c>
      <c r="H355" s="156">
        <v>0</v>
      </c>
      <c r="I355" s="156">
        <v>0</v>
      </c>
      <c r="J355" s="156">
        <v>3.1079811289563808</v>
      </c>
      <c r="K355" s="156">
        <v>0</v>
      </c>
      <c r="L355" s="156">
        <v>0</v>
      </c>
      <c r="M355" s="156">
        <v>0</v>
      </c>
      <c r="N355" s="156">
        <v>0</v>
      </c>
      <c r="O355" s="156">
        <v>0</v>
      </c>
      <c r="P355" s="156">
        <v>0</v>
      </c>
      <c r="Q355" s="156">
        <v>0.23432442051340713</v>
      </c>
      <c r="R355" s="156">
        <v>0</v>
      </c>
      <c r="S355" s="156">
        <v>0</v>
      </c>
      <c r="T355" s="156">
        <v>48.114702783173698</v>
      </c>
      <c r="U355" s="156">
        <v>3.4156524236115851</v>
      </c>
      <c r="V355" s="156">
        <v>0</v>
      </c>
      <c r="W355" s="164">
        <v>54.872660756255073</v>
      </c>
    </row>
    <row r="356" spans="1:23" ht="14.4" hidden="1" customHeight="1" outlineLevel="2">
      <c r="A356" s="363"/>
      <c r="B356" s="365"/>
      <c r="C356" s="151" t="str">
        <f t="shared" si="5"/>
        <v>Consommation nette de la branche énergie</v>
      </c>
      <c r="D356" s="270"/>
      <c r="E356" s="159" t="s">
        <v>220</v>
      </c>
      <c r="F356" s="160">
        <v>26.632511193319917</v>
      </c>
      <c r="G356" s="160">
        <v>495.90604605796653</v>
      </c>
      <c r="H356" s="160">
        <v>-461.21284862533997</v>
      </c>
      <c r="I356" s="160">
        <v>-12.369511066680493</v>
      </c>
      <c r="J356" s="160">
        <v>85.247423951706367</v>
      </c>
      <c r="K356" s="160">
        <v>-1.0405793633187679</v>
      </c>
      <c r="L356" s="160">
        <v>1165.8657454545453</v>
      </c>
      <c r="M356" s="160">
        <v>282.89646194008299</v>
      </c>
      <c r="N356" s="160">
        <v>132.01844395695895</v>
      </c>
      <c r="O356" s="160">
        <v>39.843086236867691</v>
      </c>
      <c r="P356" s="160">
        <v>-35.007669540691346</v>
      </c>
      <c r="Q356" s="160">
        <v>-9.9376191765511361</v>
      </c>
      <c r="R356" s="160">
        <v>0</v>
      </c>
      <c r="S356" s="160">
        <v>8.1928509825210405</v>
      </c>
      <c r="T356" s="160">
        <v>-614.69230798608396</v>
      </c>
      <c r="U356" s="160">
        <v>-40.603361355977462</v>
      </c>
      <c r="V356" s="160">
        <v>-5.9556450502622411</v>
      </c>
      <c r="W356" s="160">
        <v>1055.7830276090635</v>
      </c>
    </row>
    <row r="357" spans="1:23" ht="14.4" hidden="1" customHeight="1" outlineLevel="2">
      <c r="A357" s="363"/>
      <c r="B357" s="365"/>
      <c r="C357" s="151">
        <f t="shared" si="5"/>
        <v>0</v>
      </c>
      <c r="D357" s="270"/>
      <c r="E357" s="161"/>
      <c r="F357" s="162">
        <v>0</v>
      </c>
      <c r="G357" s="162">
        <v>0</v>
      </c>
      <c r="H357" s="162">
        <v>0</v>
      </c>
      <c r="I357" s="162"/>
      <c r="J357" s="162"/>
      <c r="K357" s="162"/>
      <c r="L357" s="162">
        <v>0</v>
      </c>
      <c r="M357" s="162">
        <v>0</v>
      </c>
      <c r="N357" s="162">
        <v>0</v>
      </c>
      <c r="O357" s="162">
        <v>0</v>
      </c>
      <c r="P357" s="162">
        <v>0</v>
      </c>
      <c r="Q357" s="162">
        <v>0</v>
      </c>
      <c r="R357" s="162">
        <v>0</v>
      </c>
      <c r="S357" s="162">
        <v>0</v>
      </c>
      <c r="T357" s="162">
        <v>0</v>
      </c>
      <c r="U357" s="162">
        <v>0</v>
      </c>
      <c r="V357" s="162">
        <v>0</v>
      </c>
      <c r="W357" s="162">
        <v>0</v>
      </c>
    </row>
    <row r="358" spans="1:23" ht="14.4" hidden="1" customHeight="1" outlineLevel="2">
      <c r="A358" s="363"/>
      <c r="B358" s="365"/>
      <c r="C358" s="151" t="str">
        <f t="shared" si="5"/>
        <v>Industrie</v>
      </c>
      <c r="D358" s="270"/>
      <c r="E358" s="163" t="s">
        <v>0</v>
      </c>
      <c r="F358" s="156">
        <v>5.5029056957721867</v>
      </c>
      <c r="G358" s="156">
        <v>0</v>
      </c>
      <c r="H358" s="156">
        <v>22.11045325704346</v>
      </c>
      <c r="I358" s="156">
        <v>0</v>
      </c>
      <c r="J358" s="156">
        <v>100.70137889057719</v>
      </c>
      <c r="K358" s="156">
        <v>0</v>
      </c>
      <c r="L358" s="156">
        <v>0</v>
      </c>
      <c r="M358" s="156">
        <v>0</v>
      </c>
      <c r="N358" s="156">
        <v>22.995684384710671</v>
      </c>
      <c r="O358" s="156">
        <v>1.4875517220555492</v>
      </c>
      <c r="P358" s="156">
        <v>1.1340637004165284</v>
      </c>
      <c r="Q358" s="156">
        <v>7.6109350757245533</v>
      </c>
      <c r="R358" s="156">
        <v>1.0358929634094239E-3</v>
      </c>
      <c r="S358" s="156">
        <v>3.7946622282562852E-4</v>
      </c>
      <c r="T358" s="156">
        <v>121.143548234891</v>
      </c>
      <c r="U358" s="156">
        <v>18.666810697242781</v>
      </c>
      <c r="V358" s="156">
        <v>4.7997036132812498</v>
      </c>
      <c r="W358" s="164">
        <v>306.15445063090141</v>
      </c>
    </row>
    <row r="359" spans="1:23" ht="14.4" hidden="1" customHeight="1" outlineLevel="2">
      <c r="A359" s="363"/>
      <c r="B359" s="365"/>
      <c r="C359" s="151" t="str">
        <f t="shared" si="5"/>
        <v>Transport</v>
      </c>
      <c r="D359" s="270"/>
      <c r="E359" s="163" t="s">
        <v>1</v>
      </c>
      <c r="F359" s="156">
        <v>0</v>
      </c>
      <c r="G359" s="156">
        <v>0</v>
      </c>
      <c r="H359" s="156">
        <v>247.96117391272773</v>
      </c>
      <c r="I359" s="156">
        <v>0.45874034730286561</v>
      </c>
      <c r="J359" s="156">
        <v>7.7930553540303693</v>
      </c>
      <c r="K359" s="156">
        <v>0</v>
      </c>
      <c r="L359" s="156">
        <v>0</v>
      </c>
      <c r="M359" s="156">
        <v>0</v>
      </c>
      <c r="N359" s="156">
        <v>0</v>
      </c>
      <c r="O359" s="156">
        <v>0</v>
      </c>
      <c r="P359" s="156">
        <v>23.634228263052826</v>
      </c>
      <c r="Q359" s="156">
        <v>0.58755285315237826</v>
      </c>
      <c r="R359" s="156">
        <v>0</v>
      </c>
      <c r="S359" s="156">
        <v>0</v>
      </c>
      <c r="T359" s="156">
        <v>76.403019881798997</v>
      </c>
      <c r="U359" s="156">
        <v>0</v>
      </c>
      <c r="V359" s="156">
        <v>0.72697748177984578</v>
      </c>
      <c r="W359" s="164">
        <v>357.56474809384503</v>
      </c>
    </row>
    <row r="360" spans="1:23" ht="14.4" hidden="1" customHeight="1" outlineLevel="2">
      <c r="A360" s="363"/>
      <c r="B360" s="365"/>
      <c r="C360" s="151" t="str">
        <f t="shared" si="5"/>
        <v>Résidentiel</v>
      </c>
      <c r="D360" s="270"/>
      <c r="E360" s="163" t="s">
        <v>221</v>
      </c>
      <c r="F360" s="156">
        <v>0</v>
      </c>
      <c r="G360" s="156">
        <v>0</v>
      </c>
      <c r="H360" s="156">
        <v>5.0176654676074843</v>
      </c>
      <c r="I360" s="156">
        <v>0</v>
      </c>
      <c r="J360" s="156">
        <v>80.761858357473614</v>
      </c>
      <c r="K360" s="156" t="s">
        <v>227</v>
      </c>
      <c r="L360" s="156">
        <v>0</v>
      </c>
      <c r="M360" s="156">
        <v>0</v>
      </c>
      <c r="N360" s="156">
        <v>58.500594486012396</v>
      </c>
      <c r="O360" s="156">
        <v>0</v>
      </c>
      <c r="P360" s="156">
        <v>0</v>
      </c>
      <c r="Q360" s="156">
        <v>6.0889931032353024</v>
      </c>
      <c r="R360" s="156">
        <v>71.699422992773549</v>
      </c>
      <c r="S360" s="156">
        <v>2.3923192939923683</v>
      </c>
      <c r="T360" s="156">
        <v>169.98423112481868</v>
      </c>
      <c r="U360" s="156">
        <v>12.787911636747909</v>
      </c>
      <c r="V360" s="156">
        <v>0</v>
      </c>
      <c r="W360" s="164">
        <v>407.23299646266133</v>
      </c>
    </row>
    <row r="361" spans="1:23" ht="14.4" hidden="1" customHeight="1" outlineLevel="2">
      <c r="A361" s="363"/>
      <c r="B361" s="365"/>
      <c r="C361" s="151" t="str">
        <f t="shared" si="5"/>
        <v>Tertiaire</v>
      </c>
      <c r="D361" s="270"/>
      <c r="E361" s="163" t="s">
        <v>222</v>
      </c>
      <c r="F361" s="156">
        <v>0</v>
      </c>
      <c r="G361" s="156">
        <v>0</v>
      </c>
      <c r="H361" s="156">
        <v>16.51318217393603</v>
      </c>
      <c r="I361" s="156">
        <v>0</v>
      </c>
      <c r="J361" s="156">
        <v>47.577638136444762</v>
      </c>
      <c r="K361" s="156" t="s">
        <v>227</v>
      </c>
      <c r="L361" s="156">
        <v>0</v>
      </c>
      <c r="M361" s="156">
        <v>0</v>
      </c>
      <c r="N361" s="156">
        <v>0.24487235180420636</v>
      </c>
      <c r="O361" s="156">
        <v>2.328656975701995E-2</v>
      </c>
      <c r="P361" s="156">
        <v>0</v>
      </c>
      <c r="Q361" s="156">
        <v>3.5870882168009017</v>
      </c>
      <c r="R361" s="156">
        <v>22.954719848466087</v>
      </c>
      <c r="S361" s="156">
        <v>1.3656692244414999</v>
      </c>
      <c r="T361" s="156">
        <v>152.58312663684043</v>
      </c>
      <c r="U361" s="156">
        <v>9.1486390219867744</v>
      </c>
      <c r="V361" s="156">
        <v>0</v>
      </c>
      <c r="W361" s="164">
        <v>253.99822218047771</v>
      </c>
    </row>
    <row r="362" spans="1:23" ht="14.4" hidden="1" customHeight="1" outlineLevel="2">
      <c r="A362" s="363"/>
      <c r="B362" s="365"/>
      <c r="C362" s="151" t="str">
        <f t="shared" si="5"/>
        <v>Agriculture</v>
      </c>
      <c r="D362" s="270"/>
      <c r="E362" s="163" t="s">
        <v>118</v>
      </c>
      <c r="F362" s="156">
        <v>0</v>
      </c>
      <c r="G362" s="156">
        <v>0</v>
      </c>
      <c r="H362" s="156">
        <v>34.804825920737386</v>
      </c>
      <c r="I362" s="156">
        <v>0</v>
      </c>
      <c r="J362" s="156">
        <v>2.0610497363335671</v>
      </c>
      <c r="K362" s="156">
        <v>0</v>
      </c>
      <c r="L362" s="156">
        <v>0</v>
      </c>
      <c r="M362" s="156">
        <v>0</v>
      </c>
      <c r="N362" s="156">
        <v>1.4189153282625004</v>
      </c>
      <c r="O362" s="156">
        <v>0</v>
      </c>
      <c r="P362" s="156">
        <v>1.8336044223002308</v>
      </c>
      <c r="Q362" s="156">
        <v>0.1553916401280864</v>
      </c>
      <c r="R362" s="156">
        <v>0</v>
      </c>
      <c r="S362" s="156">
        <v>7.4767074498679406E-2</v>
      </c>
      <c r="T362" s="156">
        <v>6.8548949670963042</v>
      </c>
      <c r="U362" s="156">
        <v>0</v>
      </c>
      <c r="V362" s="156">
        <v>0</v>
      </c>
      <c r="W362" s="164">
        <v>47.203449089356759</v>
      </c>
    </row>
    <row r="363" spans="1:23" ht="14.4" hidden="1" customHeight="1" outlineLevel="2">
      <c r="A363" s="363"/>
      <c r="B363" s="365"/>
      <c r="C363" s="151" t="str">
        <f t="shared" si="5"/>
        <v>Puits technologiques</v>
      </c>
      <c r="D363" s="270"/>
      <c r="E363" s="163" t="s">
        <v>223</v>
      </c>
      <c r="F363" s="156">
        <v>0</v>
      </c>
      <c r="G363" s="156">
        <v>0</v>
      </c>
      <c r="H363" s="156">
        <v>0</v>
      </c>
      <c r="I363" s="156">
        <v>0</v>
      </c>
      <c r="J363" s="156">
        <v>0</v>
      </c>
      <c r="K363" s="156">
        <v>0</v>
      </c>
      <c r="L363" s="156">
        <v>0</v>
      </c>
      <c r="M363" s="156">
        <v>0</v>
      </c>
      <c r="N363" s="156">
        <v>0</v>
      </c>
      <c r="O363" s="156">
        <v>0</v>
      </c>
      <c r="P363" s="156">
        <v>0</v>
      </c>
      <c r="Q363" s="156">
        <v>0</v>
      </c>
      <c r="R363" s="156">
        <v>0</v>
      </c>
      <c r="S363" s="156">
        <v>0</v>
      </c>
      <c r="T363" s="156">
        <v>0.13200000000000001</v>
      </c>
      <c r="U363" s="156">
        <v>0</v>
      </c>
      <c r="V363" s="156">
        <v>0</v>
      </c>
      <c r="W363" s="164">
        <v>0.13200000000000001</v>
      </c>
    </row>
    <row r="364" spans="1:23" ht="14.4" hidden="1" customHeight="1" outlineLevel="2">
      <c r="A364" s="363"/>
      <c r="B364" s="365"/>
      <c r="C364" s="151" t="str">
        <f t="shared" si="5"/>
        <v>Consommation finale énergétique</v>
      </c>
      <c r="D364" s="270"/>
      <c r="E364" s="159" t="s">
        <v>224</v>
      </c>
      <c r="F364" s="160">
        <v>5.5029056957721867</v>
      </c>
      <c r="G364" s="160">
        <v>0</v>
      </c>
      <c r="H364" s="160">
        <v>326.40730073205214</v>
      </c>
      <c r="I364" s="160">
        <v>0.45874034730286561</v>
      </c>
      <c r="J364" s="160">
        <v>238.89498047485949</v>
      </c>
      <c r="K364" s="160">
        <v>0</v>
      </c>
      <c r="L364" s="160">
        <v>0</v>
      </c>
      <c r="M364" s="160">
        <v>0</v>
      </c>
      <c r="N364" s="160">
        <v>83.160066550789779</v>
      </c>
      <c r="O364" s="160">
        <v>1.5108382918125693</v>
      </c>
      <c r="P364" s="160">
        <v>26.601896385769585</v>
      </c>
      <c r="Q364" s="160">
        <v>18.02996088904122</v>
      </c>
      <c r="R364" s="160">
        <v>94.655178734203048</v>
      </c>
      <c r="S364" s="160">
        <v>3.8331350591553734</v>
      </c>
      <c r="T364" s="160">
        <v>527.10082084544536</v>
      </c>
      <c r="U364" s="160">
        <v>40.603361355977469</v>
      </c>
      <c r="V364" s="160">
        <v>5.5266810950610958</v>
      </c>
      <c r="W364" s="160">
        <v>1372.2858664572423</v>
      </c>
    </row>
    <row r="365" spans="1:23" ht="14.4" hidden="1" customHeight="1" outlineLevel="2">
      <c r="A365" s="363"/>
      <c r="B365" s="365"/>
      <c r="C365" s="151" t="str">
        <f t="shared" si="5"/>
        <v>Consommation finale non énergétique</v>
      </c>
      <c r="D365" s="270"/>
      <c r="E365" s="155" t="s">
        <v>225</v>
      </c>
      <c r="F365" s="156">
        <v>0</v>
      </c>
      <c r="G365" s="156">
        <v>0</v>
      </c>
      <c r="H365" s="156">
        <v>94.736446300705254</v>
      </c>
      <c r="I365" s="156">
        <v>0</v>
      </c>
      <c r="J365" s="156">
        <v>10.473702184648424</v>
      </c>
      <c r="K365" s="156">
        <v>0</v>
      </c>
      <c r="L365" s="156">
        <v>0</v>
      </c>
      <c r="M365" s="156">
        <v>0</v>
      </c>
      <c r="N365" s="156">
        <v>0</v>
      </c>
      <c r="O365" s="156">
        <v>0</v>
      </c>
      <c r="P365" s="156">
        <v>0</v>
      </c>
      <c r="Q365" s="156">
        <v>0</v>
      </c>
      <c r="R365" s="156">
        <v>0</v>
      </c>
      <c r="S365" s="156">
        <v>0</v>
      </c>
      <c r="T365" s="156">
        <v>0</v>
      </c>
      <c r="U365" s="156">
        <v>0</v>
      </c>
      <c r="V365" s="156">
        <v>0</v>
      </c>
      <c r="W365" s="164">
        <v>105.21014848535368</v>
      </c>
    </row>
    <row r="366" spans="1:23" ht="14.4" hidden="1" customHeight="1" outlineLevel="2">
      <c r="A366" s="363"/>
      <c r="B366" s="365"/>
      <c r="C366" s="151" t="str">
        <f t="shared" si="5"/>
        <v>Consommation finale</v>
      </c>
      <c r="D366" s="270"/>
      <c r="E366" s="159" t="s">
        <v>226</v>
      </c>
      <c r="F366" s="160">
        <v>5.5029056957721867</v>
      </c>
      <c r="G366" s="160">
        <v>0</v>
      </c>
      <c r="H366" s="160">
        <v>421.14374703275735</v>
      </c>
      <c r="I366" s="160">
        <v>0.45874034730286561</v>
      </c>
      <c r="J366" s="160">
        <v>249.36868265950793</v>
      </c>
      <c r="K366" s="160">
        <v>0</v>
      </c>
      <c r="L366" s="160">
        <v>0</v>
      </c>
      <c r="M366" s="160">
        <v>0</v>
      </c>
      <c r="N366" s="160">
        <v>83.160066550789779</v>
      </c>
      <c r="O366" s="160">
        <v>1.5108382918125693</v>
      </c>
      <c r="P366" s="160">
        <v>26.601896385769585</v>
      </c>
      <c r="Q366" s="160">
        <v>18.02996088904122</v>
      </c>
      <c r="R366" s="160">
        <v>94.655178734203048</v>
      </c>
      <c r="S366" s="160">
        <v>3.8331350591553734</v>
      </c>
      <c r="T366" s="160">
        <v>527.10082084544536</v>
      </c>
      <c r="U366" s="160">
        <v>40.603361355977469</v>
      </c>
      <c r="V366" s="160">
        <v>5.5266810950610958</v>
      </c>
      <c r="W366" s="160">
        <v>1477.4960149425958</v>
      </c>
    </row>
    <row r="367" spans="1:23" outlineLevel="1" collapsed="1">
      <c r="A367" s="363"/>
      <c r="B367" s="365"/>
      <c r="C367" s="151" t="str">
        <f t="shared" si="5"/>
        <v/>
      </c>
      <c r="D367" s="269"/>
      <c r="E367" s="114"/>
      <c r="F367" s="169"/>
      <c r="G367" s="169"/>
      <c r="H367" s="169"/>
      <c r="I367" s="169"/>
      <c r="J367" s="169"/>
      <c r="K367" s="169"/>
      <c r="L367" s="169"/>
      <c r="M367" s="271"/>
      <c r="N367" s="169"/>
      <c r="O367" s="169"/>
      <c r="P367" s="169"/>
      <c r="Q367" s="169"/>
      <c r="R367" s="169"/>
      <c r="S367" s="169"/>
      <c r="T367" s="169"/>
      <c r="U367" s="169"/>
      <c r="V367" s="169"/>
      <c r="W367" s="169"/>
    </row>
    <row r="368" spans="1:23" ht="28.2" outlineLevel="1">
      <c r="A368" s="363"/>
      <c r="B368" s="365"/>
      <c r="C368" s="151">
        <f t="shared" si="5"/>
        <v>2040</v>
      </c>
      <c r="D368" s="269"/>
      <c r="E368" s="654">
        <v>2040</v>
      </c>
      <c r="F368" s="655"/>
      <c r="G368" s="655"/>
      <c r="H368" s="655"/>
      <c r="I368" s="655"/>
      <c r="J368" s="655"/>
      <c r="K368" s="655"/>
      <c r="L368" s="656"/>
      <c r="M368" s="272"/>
      <c r="N368" s="273"/>
      <c r="O368" s="273"/>
      <c r="P368" s="273"/>
      <c r="Q368" s="273"/>
      <c r="R368" s="273"/>
      <c r="S368" s="273"/>
      <c r="T368" s="273"/>
      <c r="U368" s="273"/>
      <c r="V368" s="273"/>
      <c r="W368" s="273"/>
    </row>
    <row r="369" spans="1:23" ht="14.4" hidden="1" customHeight="1" outlineLevel="2">
      <c r="A369" s="363"/>
      <c r="B369" s="365"/>
      <c r="C369" s="151" t="str">
        <f t="shared" si="5"/>
        <v>TWh</v>
      </c>
      <c r="D369" s="269"/>
      <c r="E369" s="662" t="s">
        <v>184</v>
      </c>
      <c r="F369" s="659" t="s">
        <v>185</v>
      </c>
      <c r="G369" s="659" t="s">
        <v>186</v>
      </c>
      <c r="H369" s="659" t="s">
        <v>187</v>
      </c>
      <c r="I369" s="657" t="s">
        <v>188</v>
      </c>
      <c r="J369" s="657" t="s">
        <v>189</v>
      </c>
      <c r="K369" s="657" t="s">
        <v>190</v>
      </c>
      <c r="L369" s="659" t="s">
        <v>191</v>
      </c>
      <c r="M369" s="659" t="s">
        <v>192</v>
      </c>
      <c r="N369" s="659" t="s">
        <v>193</v>
      </c>
      <c r="O369" s="660"/>
      <c r="P369" s="660"/>
      <c r="Q369" s="660"/>
      <c r="R369" s="660"/>
      <c r="S369" s="661"/>
      <c r="T369" s="657" t="s">
        <v>194</v>
      </c>
      <c r="U369" s="657" t="s">
        <v>195</v>
      </c>
      <c r="V369" s="657" t="s">
        <v>196</v>
      </c>
      <c r="W369" s="657" t="s">
        <v>144</v>
      </c>
    </row>
    <row r="370" spans="1:23" ht="36" hidden="1" customHeight="1" outlineLevel="2">
      <c r="A370" s="363"/>
      <c r="B370" s="365"/>
      <c r="C370" s="151" t="str">
        <f t="shared" si="5"/>
        <v/>
      </c>
      <c r="D370" s="270"/>
      <c r="E370" s="662"/>
      <c r="F370" s="659"/>
      <c r="G370" s="659"/>
      <c r="H370" s="659"/>
      <c r="I370" s="658"/>
      <c r="J370" s="658"/>
      <c r="K370" s="658"/>
      <c r="L370" s="659"/>
      <c r="M370" s="659"/>
      <c r="N370" s="153" t="s">
        <v>197</v>
      </c>
      <c r="O370" s="153" t="s">
        <v>24</v>
      </c>
      <c r="P370" s="153" t="s">
        <v>198</v>
      </c>
      <c r="Q370" s="153" t="s">
        <v>199</v>
      </c>
      <c r="R370" s="154" t="s">
        <v>200</v>
      </c>
      <c r="S370" s="153" t="s">
        <v>201</v>
      </c>
      <c r="T370" s="658"/>
      <c r="U370" s="658"/>
      <c r="V370" s="658"/>
      <c r="W370" s="658"/>
    </row>
    <row r="371" spans="1:23" ht="14.4" hidden="1" customHeight="1" outlineLevel="2">
      <c r="A371" s="363"/>
      <c r="B371" s="365"/>
      <c r="C371" s="151" t="str">
        <f t="shared" si="5"/>
        <v>Production d'énergie primaire</v>
      </c>
      <c r="D371" s="270"/>
      <c r="E371" s="155" t="s">
        <v>202</v>
      </c>
      <c r="F371" s="156">
        <v>0</v>
      </c>
      <c r="G371" s="156">
        <v>0</v>
      </c>
      <c r="H371" s="156">
        <v>0</v>
      </c>
      <c r="I371" s="156">
        <v>0</v>
      </c>
      <c r="J371" s="156">
        <v>0</v>
      </c>
      <c r="K371" s="156">
        <v>0</v>
      </c>
      <c r="L371" s="157">
        <v>1180.9541818181817</v>
      </c>
      <c r="M371" s="157">
        <v>303.04528711771246</v>
      </c>
      <c r="N371" s="165">
        <v>230.60738292727112</v>
      </c>
      <c r="O371" s="157">
        <v>41.822390756630433</v>
      </c>
      <c r="P371" s="156">
        <v>0.73066410653404046</v>
      </c>
      <c r="Q371" s="156">
        <v>0.16755866264448188</v>
      </c>
      <c r="R371" s="157">
        <v>98.304710836622974</v>
      </c>
      <c r="S371" s="157">
        <v>13.678705328876431</v>
      </c>
      <c r="T371" s="156">
        <v>0</v>
      </c>
      <c r="U371" s="156">
        <v>0</v>
      </c>
      <c r="V371" s="156">
        <v>0</v>
      </c>
      <c r="W371" s="158">
        <v>1869.3108815544733</v>
      </c>
    </row>
    <row r="372" spans="1:23" ht="14.4" hidden="1" customHeight="1" outlineLevel="2">
      <c r="A372" s="363"/>
      <c r="B372" s="365"/>
      <c r="C372" s="151" t="str">
        <f t="shared" si="5"/>
        <v>Importations</v>
      </c>
      <c r="D372" s="270"/>
      <c r="E372" s="155" t="s">
        <v>203</v>
      </c>
      <c r="F372" s="156">
        <v>32.201210281725054</v>
      </c>
      <c r="G372" s="156">
        <v>495.62110169664436</v>
      </c>
      <c r="H372" s="156">
        <v>12.754725496916839</v>
      </c>
      <c r="I372" s="157">
        <v>0</v>
      </c>
      <c r="J372" s="157">
        <v>335.76278239243084</v>
      </c>
      <c r="K372" s="157">
        <v>0</v>
      </c>
      <c r="L372" s="156">
        <v>0</v>
      </c>
      <c r="M372" s="156">
        <v>0</v>
      </c>
      <c r="N372" s="156">
        <v>5.3982359837939438</v>
      </c>
      <c r="O372" s="156">
        <v>0</v>
      </c>
      <c r="P372" s="156">
        <v>6.5876589301253281</v>
      </c>
      <c r="Q372" s="156">
        <v>8.6706240470646598</v>
      </c>
      <c r="R372" s="156">
        <v>0</v>
      </c>
      <c r="S372" s="156">
        <v>0</v>
      </c>
      <c r="T372" s="156">
        <v>0</v>
      </c>
      <c r="U372" s="156">
        <v>0</v>
      </c>
      <c r="V372" s="156">
        <v>0</v>
      </c>
      <c r="W372" s="158">
        <v>896.99633882870091</v>
      </c>
    </row>
    <row r="373" spans="1:23" ht="14.4" hidden="1" customHeight="1" outlineLevel="2">
      <c r="A373" s="363"/>
      <c r="B373" s="365"/>
      <c r="C373" s="151" t="str">
        <f t="shared" si="5"/>
        <v>Exportations</v>
      </c>
      <c r="D373" s="270"/>
      <c r="E373" s="155" t="s">
        <v>204</v>
      </c>
      <c r="F373" s="156">
        <v>0</v>
      </c>
      <c r="G373" s="156">
        <v>0</v>
      </c>
      <c r="H373" s="156">
        <v>-27.024831210387454</v>
      </c>
      <c r="I373" s="157">
        <v>-5.5601205294358405</v>
      </c>
      <c r="J373" s="157">
        <v>0</v>
      </c>
      <c r="K373" s="157">
        <v>0</v>
      </c>
      <c r="L373" s="156">
        <v>0</v>
      </c>
      <c r="M373" s="156">
        <v>0</v>
      </c>
      <c r="N373" s="156">
        <v>-19.468172161780359</v>
      </c>
      <c r="O373" s="156">
        <v>0</v>
      </c>
      <c r="P373" s="156">
        <v>0</v>
      </c>
      <c r="Q373" s="156">
        <v>0</v>
      </c>
      <c r="R373" s="156">
        <v>0</v>
      </c>
      <c r="S373" s="156">
        <v>0</v>
      </c>
      <c r="T373" s="156">
        <v>-85.484410475814684</v>
      </c>
      <c r="U373" s="156">
        <v>0</v>
      </c>
      <c r="V373" s="156">
        <v>0</v>
      </c>
      <c r="W373" s="158">
        <v>-137.53753437741832</v>
      </c>
    </row>
    <row r="374" spans="1:23" ht="14.4" hidden="1" customHeight="1" outlineLevel="2">
      <c r="A374" s="363"/>
      <c r="B374" s="365"/>
      <c r="C374" s="151" t="str">
        <f t="shared" si="5"/>
        <v>Soutes maritimes internationales</v>
      </c>
      <c r="D374" s="270"/>
      <c r="E374" s="155" t="s">
        <v>205</v>
      </c>
      <c r="F374" s="156">
        <v>0</v>
      </c>
      <c r="G374" s="156">
        <v>0</v>
      </c>
      <c r="H374" s="156">
        <v>-7.219372445559924</v>
      </c>
      <c r="I374" s="156">
        <v>-1.4597012518768306</v>
      </c>
      <c r="J374" s="156">
        <v>-1.2480151743669434</v>
      </c>
      <c r="K374" s="156">
        <v>-1.4597012518768306</v>
      </c>
      <c r="L374" s="156">
        <v>0</v>
      </c>
      <c r="M374" s="156">
        <v>0</v>
      </c>
      <c r="N374" s="156">
        <v>0</v>
      </c>
      <c r="O374" s="156">
        <v>0</v>
      </c>
      <c r="P374" s="156">
        <v>-1.155996470382596</v>
      </c>
      <c r="Q374" s="156">
        <v>-2.0061791131556639</v>
      </c>
      <c r="R374" s="156">
        <v>0</v>
      </c>
      <c r="S374" s="156">
        <v>0</v>
      </c>
      <c r="T374" s="156">
        <v>0</v>
      </c>
      <c r="U374" s="156">
        <v>0</v>
      </c>
      <c r="V374" s="156">
        <v>-0.1953332690300956</v>
      </c>
      <c r="W374" s="158">
        <v>-14.744298976248883</v>
      </c>
    </row>
    <row r="375" spans="1:23" ht="14.4" hidden="1" customHeight="1" outlineLevel="2">
      <c r="A375" s="363"/>
      <c r="B375" s="365"/>
      <c r="C375" s="151" t="str">
        <f t="shared" si="5"/>
        <v>Soutes aériennes internationales</v>
      </c>
      <c r="D375" s="270"/>
      <c r="E375" s="155" t="s">
        <v>206</v>
      </c>
      <c r="F375" s="156">
        <v>0</v>
      </c>
      <c r="G375" s="156">
        <v>0</v>
      </c>
      <c r="H375" s="156">
        <v>-55.727943177781576</v>
      </c>
      <c r="I375" s="156">
        <v>-8.0155593851285936</v>
      </c>
      <c r="J375" s="156">
        <v>0</v>
      </c>
      <c r="K375" s="156">
        <v>0</v>
      </c>
      <c r="L375" s="156">
        <v>0</v>
      </c>
      <c r="M375" s="156">
        <v>0</v>
      </c>
      <c r="N375" s="156">
        <v>0</v>
      </c>
      <c r="O375" s="156">
        <v>0</v>
      </c>
      <c r="P375" s="156">
        <v>-17.01705496235358</v>
      </c>
      <c r="Q375" s="156">
        <v>0</v>
      </c>
      <c r="R375" s="156">
        <v>0</v>
      </c>
      <c r="S375" s="156">
        <v>0</v>
      </c>
      <c r="T375" s="156">
        <v>0</v>
      </c>
      <c r="U375" s="156">
        <v>0</v>
      </c>
      <c r="V375" s="156">
        <v>-0.40465999413217324</v>
      </c>
      <c r="W375" s="158">
        <v>-81.165217519395924</v>
      </c>
    </row>
    <row r="376" spans="1:23" ht="14.4" hidden="1" customHeight="1" outlineLevel="2">
      <c r="A376" s="363"/>
      <c r="B376" s="365"/>
      <c r="C376" s="151" t="str">
        <f t="shared" si="5"/>
        <v>Variations de stocks (+ = déstockage, - = stockage)</v>
      </c>
      <c r="D376" s="270"/>
      <c r="E376" s="155" t="s">
        <v>207</v>
      </c>
      <c r="F376" s="156">
        <v>0</v>
      </c>
      <c r="G376" s="156">
        <v>0</v>
      </c>
      <c r="H376" s="156">
        <v>0</v>
      </c>
      <c r="I376" s="157">
        <v>0</v>
      </c>
      <c r="J376" s="157">
        <v>0</v>
      </c>
      <c r="K376" s="157">
        <v>0</v>
      </c>
      <c r="L376" s="156">
        <v>0</v>
      </c>
      <c r="M376" s="156">
        <v>0</v>
      </c>
      <c r="N376" s="156">
        <v>0</v>
      </c>
      <c r="O376" s="156">
        <v>0</v>
      </c>
      <c r="P376" s="156">
        <v>0</v>
      </c>
      <c r="Q376" s="156">
        <v>0</v>
      </c>
      <c r="R376" s="156">
        <v>0</v>
      </c>
      <c r="S376" s="156">
        <v>0</v>
      </c>
      <c r="T376" s="156">
        <v>0</v>
      </c>
      <c r="U376" s="156">
        <v>0</v>
      </c>
      <c r="V376" s="156">
        <v>0</v>
      </c>
      <c r="W376" s="158">
        <v>0</v>
      </c>
    </row>
    <row r="377" spans="1:23" ht="14.4" hidden="1" customHeight="1" outlineLevel="2">
      <c r="A377" s="363"/>
      <c r="B377" s="365"/>
      <c r="C377" s="151" t="str">
        <f t="shared" si="5"/>
        <v>Total approvisionnement / consommation primaire</v>
      </c>
      <c r="D377" s="270"/>
      <c r="E377" s="159" t="s">
        <v>208</v>
      </c>
      <c r="F377" s="160">
        <v>32.201210281725054</v>
      </c>
      <c r="G377" s="160">
        <v>495.62110169664436</v>
      </c>
      <c r="H377" s="160">
        <v>-77.217421336812109</v>
      </c>
      <c r="I377" s="160">
        <v>-15.035381166441265</v>
      </c>
      <c r="J377" s="160">
        <v>334.51476721806387</v>
      </c>
      <c r="K377" s="160">
        <v>-1.4597012518768306</v>
      </c>
      <c r="L377" s="160">
        <v>1180.9541818181817</v>
      </c>
      <c r="M377" s="160">
        <v>303.04528711771246</v>
      </c>
      <c r="N377" s="160">
        <v>216.5374467492847</v>
      </c>
      <c r="O377" s="160">
        <v>41.822390756630433</v>
      </c>
      <c r="P377" s="160">
        <v>-10.854728396076808</v>
      </c>
      <c r="Q377" s="160">
        <v>6.832003596553478</v>
      </c>
      <c r="R377" s="160">
        <v>98.304710836622974</v>
      </c>
      <c r="S377" s="160">
        <v>13.678705328876431</v>
      </c>
      <c r="T377" s="160">
        <v>-85.484410475814684</v>
      </c>
      <c r="U377" s="160">
        <v>0</v>
      </c>
      <c r="V377" s="160">
        <v>-0.59999326316226886</v>
      </c>
      <c r="W377" s="160">
        <v>2532.8601695101106</v>
      </c>
    </row>
    <row r="378" spans="1:23" ht="14.4" hidden="1" customHeight="1" outlineLevel="2">
      <c r="A378" s="363"/>
      <c r="B378" s="365"/>
      <c r="C378" s="151">
        <f t="shared" si="5"/>
        <v>0</v>
      </c>
      <c r="D378" s="270"/>
      <c r="E378" s="161"/>
      <c r="F378" s="162">
        <v>0</v>
      </c>
      <c r="G378" s="162">
        <v>0</v>
      </c>
      <c r="H378" s="162">
        <v>0</v>
      </c>
      <c r="I378" s="162"/>
      <c r="J378" s="162"/>
      <c r="K378" s="162"/>
      <c r="L378" s="162">
        <v>0</v>
      </c>
      <c r="M378" s="162">
        <v>0</v>
      </c>
      <c r="N378" s="162">
        <v>0</v>
      </c>
      <c r="O378" s="162">
        <v>0</v>
      </c>
      <c r="P378" s="162">
        <v>0</v>
      </c>
      <c r="Q378" s="162">
        <v>0</v>
      </c>
      <c r="R378" s="162">
        <v>0</v>
      </c>
      <c r="S378" s="162">
        <v>0</v>
      </c>
      <c r="T378" s="162">
        <v>0</v>
      </c>
      <c r="U378" s="162">
        <v>0</v>
      </c>
      <c r="V378" s="162">
        <v>0</v>
      </c>
      <c r="W378" s="162">
        <v>0</v>
      </c>
    </row>
    <row r="379" spans="1:23" ht="14.4" hidden="1" customHeight="1" outlineLevel="2">
      <c r="A379" s="363"/>
      <c r="B379" s="365"/>
      <c r="C379" s="151" t="str">
        <f t="shared" si="5"/>
        <v>Écart statistique</v>
      </c>
      <c r="D379" s="270"/>
      <c r="E379" s="163" t="s">
        <v>209</v>
      </c>
      <c r="F379" s="156">
        <v>0</v>
      </c>
      <c r="G379" s="156">
        <v>0</v>
      </c>
      <c r="H379" s="156">
        <v>0</v>
      </c>
      <c r="I379" s="156">
        <v>0</v>
      </c>
      <c r="J379" s="156">
        <v>0</v>
      </c>
      <c r="K379" s="156">
        <v>0</v>
      </c>
      <c r="L379" s="156">
        <v>0</v>
      </c>
      <c r="M379" s="156">
        <v>0</v>
      </c>
      <c r="N379" s="156">
        <v>0</v>
      </c>
      <c r="O379" s="156">
        <v>0</v>
      </c>
      <c r="P379" s="156">
        <v>0</v>
      </c>
      <c r="Q379" s="156">
        <v>0</v>
      </c>
      <c r="R379" s="156">
        <v>0</v>
      </c>
      <c r="S379" s="156">
        <v>0</v>
      </c>
      <c r="T379" s="156">
        <v>0</v>
      </c>
      <c r="U379" s="156">
        <v>0</v>
      </c>
      <c r="V379" s="156">
        <v>0</v>
      </c>
      <c r="W379" s="164">
        <v>0</v>
      </c>
    </row>
    <row r="380" spans="1:23" ht="14.4" hidden="1" customHeight="1" outlineLevel="2">
      <c r="A380" s="363"/>
      <c r="B380" s="365"/>
      <c r="C380" s="151" t="str">
        <f t="shared" si="5"/>
        <v>Production d'électricité</v>
      </c>
      <c r="D380" s="270"/>
      <c r="E380" s="163" t="s">
        <v>13</v>
      </c>
      <c r="F380" s="156">
        <v>0.65592916206991536</v>
      </c>
      <c r="G380" s="156">
        <v>0</v>
      </c>
      <c r="H380" s="156">
        <v>6.2877916560336047</v>
      </c>
      <c r="I380" s="156">
        <v>0</v>
      </c>
      <c r="J380" s="156">
        <v>46.747826086956522</v>
      </c>
      <c r="K380" s="156">
        <v>0</v>
      </c>
      <c r="L380" s="156">
        <v>1180.9541818181817</v>
      </c>
      <c r="M380" s="156">
        <v>303.04528711771246</v>
      </c>
      <c r="N380" s="156">
        <v>26.749658109940587</v>
      </c>
      <c r="O380" s="156">
        <v>6.7025471406378276</v>
      </c>
      <c r="P380" s="156">
        <v>3.7794326283396313</v>
      </c>
      <c r="Q380" s="156">
        <v>5.5605777749111889</v>
      </c>
      <c r="R380" s="156">
        <v>0</v>
      </c>
      <c r="S380" s="156">
        <v>7.2958919342868986</v>
      </c>
      <c r="T380" s="156">
        <v>-741.77225115098395</v>
      </c>
      <c r="U380" s="156">
        <v>0</v>
      </c>
      <c r="V380" s="156">
        <v>0</v>
      </c>
      <c r="W380" s="164">
        <v>846.00687227808623</v>
      </c>
    </row>
    <row r="381" spans="1:23" ht="14.4" hidden="1" customHeight="1" outlineLevel="2">
      <c r="A381" s="363"/>
      <c r="B381" s="365"/>
      <c r="C381" s="151" t="str">
        <f t="shared" si="5"/>
        <v>Production de chaleur</v>
      </c>
      <c r="D381" s="270"/>
      <c r="E381" s="163" t="s">
        <v>210</v>
      </c>
      <c r="F381" s="156">
        <v>0</v>
      </c>
      <c r="G381" s="156">
        <v>0</v>
      </c>
      <c r="H381" s="156">
        <v>0</v>
      </c>
      <c r="I381" s="156">
        <v>0</v>
      </c>
      <c r="J381" s="156">
        <v>14.74425704206474</v>
      </c>
      <c r="K381" s="156">
        <v>0</v>
      </c>
      <c r="L381" s="156">
        <v>0</v>
      </c>
      <c r="M381" s="156">
        <v>0</v>
      </c>
      <c r="N381" s="156">
        <v>14.355082128659244</v>
      </c>
      <c r="O381" s="156">
        <v>13.683897063158884</v>
      </c>
      <c r="P381" s="156">
        <v>0</v>
      </c>
      <c r="Q381" s="156">
        <v>2.5351747400874856</v>
      </c>
      <c r="R381" s="156">
        <v>0</v>
      </c>
      <c r="S381" s="156">
        <v>2.4985758909626883</v>
      </c>
      <c r="T381" s="156">
        <v>0</v>
      </c>
      <c r="U381" s="156">
        <v>-43.625935269867419</v>
      </c>
      <c r="V381" s="156">
        <v>0</v>
      </c>
      <c r="W381" s="164">
        <v>4.1910515950656251</v>
      </c>
    </row>
    <row r="382" spans="1:23" ht="14.4" hidden="1" customHeight="1" outlineLevel="2">
      <c r="A382" s="363"/>
      <c r="B382" s="365"/>
      <c r="C382" s="151" t="str">
        <f t="shared" si="5"/>
        <v>Production de gaz renouvelable</v>
      </c>
      <c r="D382" s="270"/>
      <c r="E382" s="163" t="s">
        <v>211</v>
      </c>
      <c r="F382" s="156">
        <v>0</v>
      </c>
      <c r="G382" s="156">
        <v>0</v>
      </c>
      <c r="H382" s="156">
        <v>0</v>
      </c>
      <c r="I382" s="156">
        <v>0</v>
      </c>
      <c r="J382" s="156">
        <v>0</v>
      </c>
      <c r="K382" s="156">
        <v>0</v>
      </c>
      <c r="L382" s="156">
        <v>0</v>
      </c>
      <c r="M382" s="156">
        <v>0</v>
      </c>
      <c r="N382" s="156">
        <v>29.787269664341313</v>
      </c>
      <c r="O382" s="156">
        <v>12.27503919461962</v>
      </c>
      <c r="P382" s="156">
        <v>0</v>
      </c>
      <c r="Q382" s="156">
        <v>-21.031154429480466</v>
      </c>
      <c r="R382" s="156">
        <v>0</v>
      </c>
      <c r="S382" s="156">
        <v>0</v>
      </c>
      <c r="T382" s="156">
        <v>0</v>
      </c>
      <c r="U382" s="156">
        <v>0</v>
      </c>
      <c r="V382" s="156">
        <v>0</v>
      </c>
      <c r="W382" s="164">
        <v>21.031154429480466</v>
      </c>
    </row>
    <row r="383" spans="1:23" ht="14.4" hidden="1" customHeight="1" outlineLevel="2">
      <c r="A383" s="363"/>
      <c r="B383" s="365"/>
      <c r="C383" s="151" t="str">
        <f t="shared" si="5"/>
        <v>Production de gaz de synthèse</v>
      </c>
      <c r="D383" s="270"/>
      <c r="E383" s="163" t="s">
        <v>212</v>
      </c>
      <c r="F383" s="156">
        <v>0</v>
      </c>
      <c r="G383" s="156">
        <v>0</v>
      </c>
      <c r="H383" s="156">
        <v>0</v>
      </c>
      <c r="I383" s="156">
        <v>0</v>
      </c>
      <c r="J383" s="156">
        <v>0</v>
      </c>
      <c r="K383" s="156">
        <v>-1.4597012518768306</v>
      </c>
      <c r="L383" s="156">
        <v>0</v>
      </c>
      <c r="M383" s="156">
        <v>0</v>
      </c>
      <c r="N383" s="156">
        <v>0</v>
      </c>
      <c r="O383" s="156">
        <v>0</v>
      </c>
      <c r="P383" s="156">
        <v>0</v>
      </c>
      <c r="Q383" s="156">
        <v>0</v>
      </c>
      <c r="R383" s="156">
        <v>0</v>
      </c>
      <c r="S383" s="156">
        <v>0</v>
      </c>
      <c r="T383" s="156">
        <v>0</v>
      </c>
      <c r="U383" s="156">
        <v>0</v>
      </c>
      <c r="V383" s="156">
        <v>0</v>
      </c>
      <c r="W383" s="164">
        <v>-1.4597012518768306</v>
      </c>
    </row>
    <row r="384" spans="1:23" ht="14.4" hidden="1" customHeight="1" outlineLevel="2">
      <c r="A384" s="363"/>
      <c r="B384" s="365"/>
      <c r="C384" s="151" t="str">
        <f t="shared" si="5"/>
        <v>Raffinage de pétrole</v>
      </c>
      <c r="D384" s="270"/>
      <c r="E384" s="163" t="s">
        <v>213</v>
      </c>
      <c r="F384" s="156">
        <v>0</v>
      </c>
      <c r="G384" s="156">
        <v>513.55723038621841</v>
      </c>
      <c r="H384" s="156">
        <v>-508.43578830698573</v>
      </c>
      <c r="I384" s="156">
        <v>0</v>
      </c>
      <c r="J384" s="156">
        <v>0</v>
      </c>
      <c r="K384" s="156">
        <v>0</v>
      </c>
      <c r="L384" s="156">
        <v>0</v>
      </c>
      <c r="M384" s="156">
        <v>0</v>
      </c>
      <c r="N384" s="156">
        <v>0</v>
      </c>
      <c r="O384" s="156">
        <v>0</v>
      </c>
      <c r="P384" s="156">
        <v>0</v>
      </c>
      <c r="Q384" s="156">
        <v>0</v>
      </c>
      <c r="R384" s="156">
        <v>0</v>
      </c>
      <c r="S384" s="156">
        <v>0</v>
      </c>
      <c r="T384" s="156">
        <v>0</v>
      </c>
      <c r="U384" s="156">
        <v>0</v>
      </c>
      <c r="V384" s="156">
        <v>0</v>
      </c>
      <c r="W384" s="164">
        <v>5.1214420792326489</v>
      </c>
    </row>
    <row r="385" spans="1:23" ht="14.4" hidden="1" customHeight="1" outlineLevel="2">
      <c r="A385" s="363"/>
      <c r="B385" s="365"/>
      <c r="C385" s="151" t="str">
        <f t="shared" si="5"/>
        <v>Production de biocarburants</v>
      </c>
      <c r="D385" s="270"/>
      <c r="E385" s="163" t="s">
        <v>214</v>
      </c>
      <c r="F385" s="156">
        <v>0</v>
      </c>
      <c r="G385" s="156">
        <v>0</v>
      </c>
      <c r="H385" s="156">
        <v>0</v>
      </c>
      <c r="I385" s="156">
        <v>0</v>
      </c>
      <c r="J385" s="156">
        <v>0</v>
      </c>
      <c r="K385" s="156">
        <v>0</v>
      </c>
      <c r="L385" s="156">
        <v>0</v>
      </c>
      <c r="M385" s="156">
        <v>0</v>
      </c>
      <c r="N385" s="156">
        <v>62.183937255350173</v>
      </c>
      <c r="O385" s="156">
        <v>7.2727272727272725</v>
      </c>
      <c r="P385" s="156">
        <v>-38.201165490442598</v>
      </c>
      <c r="Q385" s="156">
        <v>0</v>
      </c>
      <c r="R385" s="156">
        <v>0</v>
      </c>
      <c r="S385" s="156">
        <v>0</v>
      </c>
      <c r="T385" s="156">
        <v>0</v>
      </c>
      <c r="U385" s="156">
        <v>0</v>
      </c>
      <c r="V385" s="156">
        <v>0</v>
      </c>
      <c r="W385" s="164">
        <v>31.255499037634841</v>
      </c>
    </row>
    <row r="386" spans="1:23" ht="14.4" hidden="1" customHeight="1" outlineLevel="2">
      <c r="A386" s="363"/>
      <c r="B386" s="365"/>
      <c r="C386" s="151" t="str">
        <f t="shared" si="5"/>
        <v>Production d'e-fuels</v>
      </c>
      <c r="D386" s="270"/>
      <c r="E386" s="163" t="s">
        <v>215</v>
      </c>
      <c r="F386" s="156">
        <v>0</v>
      </c>
      <c r="G386" s="156">
        <v>0</v>
      </c>
      <c r="H386" s="156">
        <v>0</v>
      </c>
      <c r="I386" s="156">
        <v>-15.599603958472605</v>
      </c>
      <c r="J386" s="156">
        <v>0</v>
      </c>
      <c r="K386" s="156">
        <v>0</v>
      </c>
      <c r="L386" s="156">
        <v>0</v>
      </c>
      <c r="M386" s="156">
        <v>0</v>
      </c>
      <c r="N386" s="156">
        <v>0</v>
      </c>
      <c r="O386" s="156">
        <v>0</v>
      </c>
      <c r="P386" s="156">
        <v>0</v>
      </c>
      <c r="Q386" s="156">
        <v>0</v>
      </c>
      <c r="R386" s="156">
        <v>0</v>
      </c>
      <c r="S386" s="156">
        <v>0</v>
      </c>
      <c r="T386" s="156">
        <v>0</v>
      </c>
      <c r="U386" s="156">
        <v>0</v>
      </c>
      <c r="V386" s="156">
        <v>21.726467908736218</v>
      </c>
      <c r="W386" s="164">
        <v>6.1268639502636137</v>
      </c>
    </row>
    <row r="387" spans="1:23" ht="14.4" hidden="1" customHeight="1" outlineLevel="2">
      <c r="A387" s="363"/>
      <c r="B387" s="365"/>
      <c r="C387" s="151" t="str">
        <f t="shared" si="5"/>
        <v>Production d'hydrogène</v>
      </c>
      <c r="D387" s="270"/>
      <c r="E387" s="163" t="s">
        <v>216</v>
      </c>
      <c r="F387" s="156">
        <v>0</v>
      </c>
      <c r="G387" s="156">
        <v>0</v>
      </c>
      <c r="H387" s="156">
        <v>0</v>
      </c>
      <c r="I387" s="156">
        <v>0</v>
      </c>
      <c r="J387" s="156">
        <v>18.886744179667129</v>
      </c>
      <c r="K387" s="156">
        <v>0</v>
      </c>
      <c r="L387" s="156">
        <v>0</v>
      </c>
      <c r="M387" s="156">
        <v>0</v>
      </c>
      <c r="N387" s="156">
        <v>0</v>
      </c>
      <c r="O387" s="156">
        <v>0.40615546626697574</v>
      </c>
      <c r="P387" s="156">
        <v>0</v>
      </c>
      <c r="Q387" s="156">
        <v>1.4210291336816561</v>
      </c>
      <c r="R387" s="156">
        <v>0</v>
      </c>
      <c r="S387" s="156">
        <v>0</v>
      </c>
      <c r="T387" s="156">
        <v>20.337419697747833</v>
      </c>
      <c r="U387" s="156">
        <v>0</v>
      </c>
      <c r="V387" s="156">
        <v>-28.430882638688299</v>
      </c>
      <c r="W387" s="164">
        <v>12.620465838675297</v>
      </c>
    </row>
    <row r="388" spans="1:23" ht="14.4" hidden="1" customHeight="1" outlineLevel="2">
      <c r="A388" s="363"/>
      <c r="B388" s="365"/>
      <c r="C388" s="151" t="str">
        <f t="shared" si="5"/>
        <v>Autres transformations, transferts</v>
      </c>
      <c r="D388" s="270"/>
      <c r="E388" s="163" t="s">
        <v>217</v>
      </c>
      <c r="F388" s="156">
        <v>18.77341078125</v>
      </c>
      <c r="G388" s="156">
        <v>-17.936128689573987</v>
      </c>
      <c r="H388" s="156">
        <v>23.605562715797749</v>
      </c>
      <c r="I388" s="156">
        <v>0</v>
      </c>
      <c r="J388" s="156">
        <v>0</v>
      </c>
      <c r="K388" s="156">
        <v>0</v>
      </c>
      <c r="L388" s="156">
        <v>0</v>
      </c>
      <c r="M388" s="156">
        <v>0</v>
      </c>
      <c r="N388" s="156">
        <v>0</v>
      </c>
      <c r="O388" s="156">
        <v>0</v>
      </c>
      <c r="P388" s="156">
        <v>0</v>
      </c>
      <c r="Q388" s="156">
        <v>0</v>
      </c>
      <c r="R388" s="156">
        <v>0</v>
      </c>
      <c r="S388" s="156">
        <v>0</v>
      </c>
      <c r="T388" s="156">
        <v>0</v>
      </c>
      <c r="U388" s="156">
        <v>0</v>
      </c>
      <c r="V388" s="156">
        <v>0</v>
      </c>
      <c r="W388" s="164">
        <v>24.442844807473762</v>
      </c>
    </row>
    <row r="389" spans="1:23" ht="14.4" hidden="1" customHeight="1" outlineLevel="2">
      <c r="A389" s="363"/>
      <c r="B389" s="365"/>
      <c r="C389" s="151" t="str">
        <f t="shared" si="5"/>
        <v>Usages internes de la branche énergie</v>
      </c>
      <c r="D389" s="270"/>
      <c r="E389" s="163" t="s">
        <v>218</v>
      </c>
      <c r="F389" s="156">
        <v>7.3007708593750005</v>
      </c>
      <c r="G389" s="156">
        <v>0</v>
      </c>
      <c r="H389" s="156">
        <v>17.591240111048812</v>
      </c>
      <c r="I389" s="156">
        <v>0</v>
      </c>
      <c r="J389" s="156">
        <v>4.7055377462654953</v>
      </c>
      <c r="K389" s="156">
        <v>0</v>
      </c>
      <c r="L389" s="156">
        <v>0</v>
      </c>
      <c r="M389" s="156">
        <v>0</v>
      </c>
      <c r="N389" s="156">
        <v>0</v>
      </c>
      <c r="O389" s="156">
        <v>0</v>
      </c>
      <c r="P389" s="156">
        <v>0</v>
      </c>
      <c r="Q389" s="156">
        <v>0.35404229355108668</v>
      </c>
      <c r="R389" s="156">
        <v>0</v>
      </c>
      <c r="S389" s="156">
        <v>0</v>
      </c>
      <c r="T389" s="156">
        <v>36.93851651137976</v>
      </c>
      <c r="U389" s="156">
        <v>0</v>
      </c>
      <c r="V389" s="156">
        <v>0</v>
      </c>
      <c r="W389" s="164">
        <v>66.890107521620152</v>
      </c>
    </row>
    <row r="390" spans="1:23" ht="14.4" hidden="1" customHeight="1" outlineLevel="2">
      <c r="A390" s="363"/>
      <c r="B390" s="365"/>
      <c r="C390" s="151" t="str">
        <f t="shared" si="5"/>
        <v>Pertes de transport et de distribution</v>
      </c>
      <c r="D390" s="270"/>
      <c r="E390" s="163" t="s">
        <v>219</v>
      </c>
      <c r="F390" s="156">
        <v>0</v>
      </c>
      <c r="G390" s="156">
        <v>0</v>
      </c>
      <c r="H390" s="156">
        <v>0</v>
      </c>
      <c r="I390" s="156">
        <v>0</v>
      </c>
      <c r="J390" s="156">
        <v>3.1124060658162898</v>
      </c>
      <c r="K390" s="156">
        <v>0</v>
      </c>
      <c r="L390" s="156">
        <v>0</v>
      </c>
      <c r="M390" s="156">
        <v>0</v>
      </c>
      <c r="N390" s="156">
        <v>0</v>
      </c>
      <c r="O390" s="156">
        <v>0</v>
      </c>
      <c r="P390" s="156">
        <v>0</v>
      </c>
      <c r="Q390" s="156">
        <v>0.23417586712133903</v>
      </c>
      <c r="R390" s="156">
        <v>0</v>
      </c>
      <c r="S390" s="156">
        <v>0</v>
      </c>
      <c r="T390" s="156">
        <v>50.234288841818149</v>
      </c>
      <c r="U390" s="156">
        <v>3.385260148837872</v>
      </c>
      <c r="V390" s="156">
        <v>0</v>
      </c>
      <c r="W390" s="164">
        <v>56.966130923593653</v>
      </c>
    </row>
    <row r="391" spans="1:23" ht="14.4" hidden="1" customHeight="1" outlineLevel="2">
      <c r="A391" s="363"/>
      <c r="B391" s="365"/>
      <c r="C391" s="151" t="str">
        <f t="shared" ref="C391:C454" si="6">IF(ISBLANK(E391),IF(ISBLANK(F391),"",F391),E391)</f>
        <v>Consommation nette de la branche énergie</v>
      </c>
      <c r="D391" s="270"/>
      <c r="E391" s="159" t="s">
        <v>220</v>
      </c>
      <c r="F391" s="160">
        <v>26.730110802694917</v>
      </c>
      <c r="G391" s="160">
        <v>495.62110169664436</v>
      </c>
      <c r="H391" s="160">
        <v>-460.95119382410553</v>
      </c>
      <c r="I391" s="160">
        <v>-15.599603958472605</v>
      </c>
      <c r="J391" s="160">
        <v>88.196771120770165</v>
      </c>
      <c r="K391" s="160">
        <v>-1.4597012518768306</v>
      </c>
      <c r="L391" s="160">
        <v>1180.9541818181817</v>
      </c>
      <c r="M391" s="160">
        <v>303.04528711771246</v>
      </c>
      <c r="N391" s="160">
        <v>133.07594715829131</v>
      </c>
      <c r="O391" s="160">
        <v>40.340366137410577</v>
      </c>
      <c r="P391" s="160">
        <v>-34.421732862102964</v>
      </c>
      <c r="Q391" s="160">
        <v>-10.92615462012771</v>
      </c>
      <c r="R391" s="160">
        <v>0</v>
      </c>
      <c r="S391" s="160">
        <v>9.7944678252495869</v>
      </c>
      <c r="T391" s="160">
        <v>-634.26202610003816</v>
      </c>
      <c r="U391" s="160">
        <v>-40.240675121029554</v>
      </c>
      <c r="V391" s="160">
        <v>-6.7044147299520809</v>
      </c>
      <c r="W391" s="160">
        <v>1073.1927312092496</v>
      </c>
    </row>
    <row r="392" spans="1:23" ht="14.4" hidden="1" customHeight="1" outlineLevel="2">
      <c r="A392" s="363"/>
      <c r="B392" s="365"/>
      <c r="C392" s="151">
        <f t="shared" si="6"/>
        <v>0</v>
      </c>
      <c r="D392" s="270"/>
      <c r="E392" s="161"/>
      <c r="F392" s="162">
        <v>0</v>
      </c>
      <c r="G392" s="162">
        <v>0</v>
      </c>
      <c r="H392" s="162">
        <v>0</v>
      </c>
      <c r="I392" s="162"/>
      <c r="J392" s="162"/>
      <c r="K392" s="162"/>
      <c r="L392" s="162">
        <v>0</v>
      </c>
      <c r="M392" s="162">
        <v>0</v>
      </c>
      <c r="N392" s="162">
        <v>0</v>
      </c>
      <c r="O392" s="162">
        <v>0</v>
      </c>
      <c r="P392" s="162">
        <v>0</v>
      </c>
      <c r="Q392" s="162">
        <v>0</v>
      </c>
      <c r="R392" s="162">
        <v>0</v>
      </c>
      <c r="S392" s="162">
        <v>0</v>
      </c>
      <c r="T392" s="162">
        <v>0</v>
      </c>
      <c r="U392" s="162">
        <v>0</v>
      </c>
      <c r="V392" s="162">
        <v>0</v>
      </c>
      <c r="W392" s="162">
        <v>0</v>
      </c>
    </row>
    <row r="393" spans="1:23" ht="14.4" hidden="1" customHeight="1" outlineLevel="2">
      <c r="A393" s="363"/>
      <c r="B393" s="365"/>
      <c r="C393" s="151" t="str">
        <f t="shared" si="6"/>
        <v>Industrie</v>
      </c>
      <c r="D393" s="270"/>
      <c r="E393" s="163" t="s">
        <v>0</v>
      </c>
      <c r="F393" s="156">
        <v>5.471099479030137</v>
      </c>
      <c r="G393" s="156">
        <v>0</v>
      </c>
      <c r="H393" s="156">
        <v>21.621793301460421</v>
      </c>
      <c r="I393" s="156">
        <v>0</v>
      </c>
      <c r="J393" s="156">
        <v>100.7467007014145</v>
      </c>
      <c r="K393" s="156">
        <v>0</v>
      </c>
      <c r="L393" s="156">
        <v>0</v>
      </c>
      <c r="M393" s="156">
        <v>0</v>
      </c>
      <c r="N393" s="156">
        <v>23.44979614733337</v>
      </c>
      <c r="O393" s="156">
        <v>1.4587690274799983</v>
      </c>
      <c r="P393" s="156">
        <v>1.1429368317807089</v>
      </c>
      <c r="Q393" s="156">
        <v>7.5987051443788847</v>
      </c>
      <c r="R393" s="156">
        <v>1.0218180418014526E-3</v>
      </c>
      <c r="S393" s="156">
        <v>3.7866244598879417E-4</v>
      </c>
      <c r="T393" s="156">
        <v>122.91951107973217</v>
      </c>
      <c r="U393" s="156">
        <v>18.55203699777983</v>
      </c>
      <c r="V393" s="156">
        <v>5.2115166015624999</v>
      </c>
      <c r="W393" s="164">
        <v>308.17426579244028</v>
      </c>
    </row>
    <row r="394" spans="1:23" ht="14.4" hidden="1" customHeight="1" outlineLevel="2">
      <c r="A394" s="363"/>
      <c r="B394" s="365"/>
      <c r="C394" s="151" t="str">
        <f t="shared" si="6"/>
        <v>Transport</v>
      </c>
      <c r="D394" s="270"/>
      <c r="E394" s="163" t="s">
        <v>1</v>
      </c>
      <c r="F394" s="156">
        <v>0</v>
      </c>
      <c r="G394" s="156">
        <v>0</v>
      </c>
      <c r="H394" s="156">
        <v>214.03174221237938</v>
      </c>
      <c r="I394" s="156">
        <v>0.56422279203133918</v>
      </c>
      <c r="J394" s="156">
        <v>7.8805154460071503</v>
      </c>
      <c r="K394" s="156">
        <v>0</v>
      </c>
      <c r="L394" s="156">
        <v>0</v>
      </c>
      <c r="M394" s="156">
        <v>0</v>
      </c>
      <c r="N394" s="156">
        <v>0</v>
      </c>
      <c r="O394" s="156">
        <v>0</v>
      </c>
      <c r="P394" s="156">
        <v>20.575221712393176</v>
      </c>
      <c r="Q394" s="156">
        <v>0.59292601894085784</v>
      </c>
      <c r="R394" s="156">
        <v>0</v>
      </c>
      <c r="S394" s="156">
        <v>0</v>
      </c>
      <c r="T394" s="156">
        <v>89.896277121934205</v>
      </c>
      <c r="U394" s="156">
        <v>0</v>
      </c>
      <c r="V394" s="156">
        <v>0.89290486522731083</v>
      </c>
      <c r="W394" s="164">
        <v>334.43381016891345</v>
      </c>
    </row>
    <row r="395" spans="1:23" ht="14.4" hidden="1" customHeight="1" outlineLevel="2">
      <c r="A395" s="363"/>
      <c r="B395" s="365"/>
      <c r="C395" s="151" t="str">
        <f t="shared" si="6"/>
        <v>Résidentiel</v>
      </c>
      <c r="D395" s="270"/>
      <c r="E395" s="163" t="s">
        <v>221</v>
      </c>
      <c r="F395" s="156">
        <v>0</v>
      </c>
      <c r="G395" s="156">
        <v>0</v>
      </c>
      <c r="H395" s="156">
        <v>4.2583243540434736</v>
      </c>
      <c r="I395" s="156">
        <v>0</v>
      </c>
      <c r="J395" s="156">
        <v>78.315402165729125</v>
      </c>
      <c r="K395" s="156" t="s">
        <v>227</v>
      </c>
      <c r="L395" s="156">
        <v>0</v>
      </c>
      <c r="M395" s="156">
        <v>0</v>
      </c>
      <c r="N395" s="156">
        <v>58.226786138016692</v>
      </c>
      <c r="O395" s="156">
        <v>0</v>
      </c>
      <c r="P395" s="156">
        <v>0</v>
      </c>
      <c r="Q395" s="156">
        <v>5.8924114730852439</v>
      </c>
      <c r="R395" s="156">
        <v>74.118488735450768</v>
      </c>
      <c r="S395" s="156">
        <v>2.43052405941215</v>
      </c>
      <c r="T395" s="156">
        <v>171.89699955008459</v>
      </c>
      <c r="U395" s="156">
        <v>12.637872540367553</v>
      </c>
      <c r="V395" s="156">
        <v>0</v>
      </c>
      <c r="W395" s="164">
        <v>407.77680901618953</v>
      </c>
    </row>
    <row r="396" spans="1:23" ht="14.4" hidden="1" customHeight="1" outlineLevel="2">
      <c r="A396" s="363"/>
      <c r="B396" s="365"/>
      <c r="C396" s="151" t="str">
        <f t="shared" si="6"/>
        <v>Tertiaire</v>
      </c>
      <c r="D396" s="270"/>
      <c r="E396" s="163" t="s">
        <v>222</v>
      </c>
      <c r="F396" s="156">
        <v>0</v>
      </c>
      <c r="G396" s="156">
        <v>0</v>
      </c>
      <c r="H396" s="156">
        <v>15.899013379859936</v>
      </c>
      <c r="I396" s="156">
        <v>0</v>
      </c>
      <c r="J396" s="156">
        <v>46.807530960064305</v>
      </c>
      <c r="K396" s="156" t="s">
        <v>227</v>
      </c>
      <c r="L396" s="156">
        <v>0</v>
      </c>
      <c r="M396" s="156">
        <v>0</v>
      </c>
      <c r="N396" s="156">
        <v>0.24732146287410545</v>
      </c>
      <c r="O396" s="156">
        <v>2.3255591739867021E-2</v>
      </c>
      <c r="P396" s="156">
        <v>0</v>
      </c>
      <c r="Q396" s="156">
        <v>3.5217750893012711</v>
      </c>
      <c r="R396" s="156">
        <v>24.185200283130396</v>
      </c>
      <c r="S396" s="156">
        <v>1.3809422607207866</v>
      </c>
      <c r="T396" s="156">
        <v>157.13911863815389</v>
      </c>
      <c r="U396" s="156">
        <v>9.0507655828821711</v>
      </c>
      <c r="V396" s="156">
        <v>0</v>
      </c>
      <c r="W396" s="164">
        <v>258.25492324872675</v>
      </c>
    </row>
    <row r="397" spans="1:23" ht="14.4" hidden="1" customHeight="1" outlineLevel="2">
      <c r="A397" s="363"/>
      <c r="B397" s="365"/>
      <c r="C397" s="151" t="str">
        <f t="shared" si="6"/>
        <v>Agriculture</v>
      </c>
      <c r="D397" s="270"/>
      <c r="E397" s="163" t="s">
        <v>118</v>
      </c>
      <c r="F397" s="156">
        <v>0</v>
      </c>
      <c r="G397" s="156">
        <v>0</v>
      </c>
      <c r="H397" s="156">
        <v>34.441248331642342</v>
      </c>
      <c r="I397" s="156">
        <v>0</v>
      </c>
      <c r="J397" s="156">
        <v>2.0247409522097382</v>
      </c>
      <c r="K397" s="156">
        <v>0</v>
      </c>
      <c r="L397" s="156">
        <v>0</v>
      </c>
      <c r="M397" s="156">
        <v>0</v>
      </c>
      <c r="N397" s="156">
        <v>1.5375958427691865</v>
      </c>
      <c r="O397" s="156">
        <v>0</v>
      </c>
      <c r="P397" s="156">
        <v>1.8488459218522775</v>
      </c>
      <c r="Q397" s="156">
        <v>0.1523404909749291</v>
      </c>
      <c r="R397" s="156">
        <v>0</v>
      </c>
      <c r="S397" s="156">
        <v>7.2392521047915395E-2</v>
      </c>
      <c r="T397" s="156">
        <v>6.7457092343185998</v>
      </c>
      <c r="U397" s="156">
        <v>0</v>
      </c>
      <c r="V397" s="156">
        <v>0</v>
      </c>
      <c r="W397" s="164">
        <v>46.82287329481499</v>
      </c>
    </row>
    <row r="398" spans="1:23" ht="14.4" hidden="1" customHeight="1" outlineLevel="2">
      <c r="A398" s="363"/>
      <c r="B398" s="365"/>
      <c r="C398" s="151" t="str">
        <f t="shared" si="6"/>
        <v>Puits technologiques</v>
      </c>
      <c r="D398" s="270"/>
      <c r="E398" s="163" t="s">
        <v>223</v>
      </c>
      <c r="F398" s="156">
        <v>0</v>
      </c>
      <c r="G398" s="156">
        <v>0</v>
      </c>
      <c r="H398" s="156">
        <v>0</v>
      </c>
      <c r="I398" s="156">
        <v>0</v>
      </c>
      <c r="J398" s="156">
        <v>0</v>
      </c>
      <c r="K398" s="156">
        <v>0</v>
      </c>
      <c r="L398" s="156">
        <v>0</v>
      </c>
      <c r="M398" s="156">
        <v>0</v>
      </c>
      <c r="N398" s="156">
        <v>0</v>
      </c>
      <c r="O398" s="156">
        <v>0</v>
      </c>
      <c r="P398" s="156">
        <v>0</v>
      </c>
      <c r="Q398" s="156">
        <v>0</v>
      </c>
      <c r="R398" s="156">
        <v>0</v>
      </c>
      <c r="S398" s="156">
        <v>0</v>
      </c>
      <c r="T398" s="156">
        <v>0.18</v>
      </c>
      <c r="U398" s="156">
        <v>0</v>
      </c>
      <c r="V398" s="156">
        <v>0</v>
      </c>
      <c r="W398" s="164">
        <v>0.18</v>
      </c>
    </row>
    <row r="399" spans="1:23" ht="14.4" hidden="1" customHeight="1" outlineLevel="2">
      <c r="A399" s="363"/>
      <c r="B399" s="365"/>
      <c r="C399" s="151" t="str">
        <f t="shared" si="6"/>
        <v>Consommation finale énergétique</v>
      </c>
      <c r="D399" s="270"/>
      <c r="E399" s="159" t="s">
        <v>224</v>
      </c>
      <c r="F399" s="160">
        <v>5.471099479030137</v>
      </c>
      <c r="G399" s="160">
        <v>0</v>
      </c>
      <c r="H399" s="160">
        <v>290.25212157938552</v>
      </c>
      <c r="I399" s="160">
        <v>0.56422279203133918</v>
      </c>
      <c r="J399" s="160">
        <v>235.7748902254248</v>
      </c>
      <c r="K399" s="160">
        <v>0</v>
      </c>
      <c r="L399" s="160">
        <v>0</v>
      </c>
      <c r="M399" s="160">
        <v>0</v>
      </c>
      <c r="N399" s="160">
        <v>83.46149959099337</v>
      </c>
      <c r="O399" s="160">
        <v>1.4820246192198652</v>
      </c>
      <c r="P399" s="160">
        <v>23.567004466026162</v>
      </c>
      <c r="Q399" s="160">
        <v>17.758158216681188</v>
      </c>
      <c r="R399" s="160">
        <v>98.304710836622974</v>
      </c>
      <c r="S399" s="160">
        <v>3.8842375036268413</v>
      </c>
      <c r="T399" s="160">
        <v>548.77761562422336</v>
      </c>
      <c r="U399" s="160">
        <v>40.240675121029554</v>
      </c>
      <c r="V399" s="160">
        <v>6.1044214667898107</v>
      </c>
      <c r="W399" s="160">
        <v>1355.6426815210853</v>
      </c>
    </row>
    <row r="400" spans="1:23" ht="14.4" hidden="1" customHeight="1" outlineLevel="2">
      <c r="A400" s="363"/>
      <c r="B400" s="365"/>
      <c r="C400" s="151" t="str">
        <f t="shared" si="6"/>
        <v>Consommation finale non énergétique</v>
      </c>
      <c r="D400" s="270"/>
      <c r="E400" s="155" t="s">
        <v>225</v>
      </c>
      <c r="F400" s="156">
        <v>0</v>
      </c>
      <c r="G400" s="156">
        <v>0</v>
      </c>
      <c r="H400" s="156">
        <v>93.481650907907905</v>
      </c>
      <c r="I400" s="156">
        <v>0</v>
      </c>
      <c r="J400" s="156">
        <v>10.543105871868859</v>
      </c>
      <c r="K400" s="156">
        <v>0</v>
      </c>
      <c r="L400" s="156">
        <v>0</v>
      </c>
      <c r="M400" s="156">
        <v>0</v>
      </c>
      <c r="N400" s="156">
        <v>0</v>
      </c>
      <c r="O400" s="156">
        <v>0</v>
      </c>
      <c r="P400" s="156">
        <v>0</v>
      </c>
      <c r="Q400" s="156">
        <v>0</v>
      </c>
      <c r="R400" s="156">
        <v>0</v>
      </c>
      <c r="S400" s="156">
        <v>0</v>
      </c>
      <c r="T400" s="156">
        <v>0</v>
      </c>
      <c r="U400" s="156">
        <v>0</v>
      </c>
      <c r="V400" s="156">
        <v>0</v>
      </c>
      <c r="W400" s="164">
        <v>104.02475677977677</v>
      </c>
    </row>
    <row r="401" spans="1:23" ht="14.4" hidden="1" customHeight="1" outlineLevel="2">
      <c r="A401" s="363"/>
      <c r="B401" s="365"/>
      <c r="C401" s="151" t="str">
        <f t="shared" si="6"/>
        <v>Consommation finale</v>
      </c>
      <c r="D401" s="270"/>
      <c r="E401" s="159" t="s">
        <v>226</v>
      </c>
      <c r="F401" s="160">
        <v>5.471099479030137</v>
      </c>
      <c r="G401" s="160">
        <v>0</v>
      </c>
      <c r="H401" s="160">
        <v>383.73377248729338</v>
      </c>
      <c r="I401" s="160">
        <v>0.56422279203133918</v>
      </c>
      <c r="J401" s="160">
        <v>246.31799609729364</v>
      </c>
      <c r="K401" s="160">
        <v>0</v>
      </c>
      <c r="L401" s="160">
        <v>0</v>
      </c>
      <c r="M401" s="160">
        <v>0</v>
      </c>
      <c r="N401" s="160">
        <v>83.46149959099337</v>
      </c>
      <c r="O401" s="160">
        <v>1.4820246192198652</v>
      </c>
      <c r="P401" s="160">
        <v>23.567004466026162</v>
      </c>
      <c r="Q401" s="160">
        <v>17.758158216681188</v>
      </c>
      <c r="R401" s="160">
        <v>98.304710836622974</v>
      </c>
      <c r="S401" s="160">
        <v>3.8842375036268413</v>
      </c>
      <c r="T401" s="160">
        <v>548.77761562422336</v>
      </c>
      <c r="U401" s="160">
        <v>40.240675121029554</v>
      </c>
      <c r="V401" s="160">
        <v>6.1044214667898107</v>
      </c>
      <c r="W401" s="160">
        <v>1459.6674383008622</v>
      </c>
    </row>
    <row r="402" spans="1:23" outlineLevel="1" collapsed="1">
      <c r="A402" s="363"/>
      <c r="B402" s="365"/>
      <c r="C402" s="151" t="str">
        <f t="shared" si="6"/>
        <v/>
      </c>
      <c r="D402" s="269"/>
      <c r="E402" s="114"/>
      <c r="F402" s="169"/>
      <c r="G402" s="169"/>
      <c r="H402" s="169"/>
      <c r="I402" s="169"/>
      <c r="J402" s="169"/>
      <c r="K402" s="169"/>
      <c r="L402" s="169"/>
      <c r="M402" s="271"/>
      <c r="N402" s="169"/>
      <c r="O402" s="169"/>
      <c r="P402" s="169"/>
      <c r="Q402" s="169"/>
      <c r="R402" s="169"/>
      <c r="S402" s="169"/>
      <c r="T402" s="169"/>
      <c r="U402" s="169"/>
      <c r="V402" s="169"/>
      <c r="W402" s="169"/>
    </row>
    <row r="403" spans="1:23" ht="28.2" outlineLevel="1">
      <c r="A403" s="363"/>
      <c r="B403" s="365"/>
      <c r="C403" s="151">
        <f t="shared" si="6"/>
        <v>2043</v>
      </c>
      <c r="D403" s="269"/>
      <c r="E403" s="654">
        <v>2043</v>
      </c>
      <c r="F403" s="655"/>
      <c r="G403" s="655"/>
      <c r="H403" s="655"/>
      <c r="I403" s="655"/>
      <c r="J403" s="655"/>
      <c r="K403" s="655"/>
      <c r="L403" s="656"/>
      <c r="M403" s="272"/>
      <c r="N403" s="273"/>
      <c r="O403" s="273"/>
      <c r="P403" s="273"/>
      <c r="Q403" s="273"/>
      <c r="R403" s="273"/>
      <c r="S403" s="273"/>
      <c r="T403" s="273"/>
      <c r="U403" s="273"/>
      <c r="V403" s="273"/>
      <c r="W403" s="273"/>
    </row>
    <row r="404" spans="1:23" ht="14.4" hidden="1" customHeight="1" outlineLevel="2">
      <c r="A404" s="363"/>
      <c r="B404" s="365"/>
      <c r="C404" s="151" t="str">
        <f t="shared" si="6"/>
        <v>TWh</v>
      </c>
      <c r="D404" s="269"/>
      <c r="E404" s="662" t="s">
        <v>184</v>
      </c>
      <c r="F404" s="659" t="s">
        <v>185</v>
      </c>
      <c r="G404" s="659" t="s">
        <v>186</v>
      </c>
      <c r="H404" s="659" t="s">
        <v>187</v>
      </c>
      <c r="I404" s="657" t="s">
        <v>188</v>
      </c>
      <c r="J404" s="657" t="s">
        <v>189</v>
      </c>
      <c r="K404" s="657" t="s">
        <v>190</v>
      </c>
      <c r="L404" s="659" t="s">
        <v>191</v>
      </c>
      <c r="M404" s="659" t="s">
        <v>192</v>
      </c>
      <c r="N404" s="659" t="s">
        <v>193</v>
      </c>
      <c r="O404" s="660"/>
      <c r="P404" s="660"/>
      <c r="Q404" s="660"/>
      <c r="R404" s="660"/>
      <c r="S404" s="661"/>
      <c r="T404" s="657" t="s">
        <v>194</v>
      </c>
      <c r="U404" s="657" t="s">
        <v>195</v>
      </c>
      <c r="V404" s="657" t="s">
        <v>196</v>
      </c>
      <c r="W404" s="657" t="s">
        <v>144</v>
      </c>
    </row>
    <row r="405" spans="1:23" ht="36" hidden="1" customHeight="1" outlineLevel="2">
      <c r="A405" s="363"/>
      <c r="B405" s="365"/>
      <c r="C405" s="151" t="str">
        <f t="shared" si="6"/>
        <v/>
      </c>
      <c r="D405" s="270"/>
      <c r="E405" s="662"/>
      <c r="F405" s="659"/>
      <c r="G405" s="659"/>
      <c r="H405" s="659"/>
      <c r="I405" s="658"/>
      <c r="J405" s="658"/>
      <c r="K405" s="658"/>
      <c r="L405" s="659"/>
      <c r="M405" s="659"/>
      <c r="N405" s="153" t="s">
        <v>197</v>
      </c>
      <c r="O405" s="153" t="s">
        <v>24</v>
      </c>
      <c r="P405" s="153" t="s">
        <v>198</v>
      </c>
      <c r="Q405" s="153" t="s">
        <v>199</v>
      </c>
      <c r="R405" s="154" t="s">
        <v>200</v>
      </c>
      <c r="S405" s="153" t="s">
        <v>201</v>
      </c>
      <c r="T405" s="658"/>
      <c r="U405" s="658"/>
      <c r="V405" s="658"/>
      <c r="W405" s="658"/>
    </row>
    <row r="406" spans="1:23" ht="14.4" hidden="1" customHeight="1" outlineLevel="2">
      <c r="A406" s="363"/>
      <c r="B406" s="365"/>
      <c r="C406" s="151" t="str">
        <f t="shared" si="6"/>
        <v>Production d'énergie primaire</v>
      </c>
      <c r="D406" s="270"/>
      <c r="E406" s="155" t="s">
        <v>202</v>
      </c>
      <c r="F406" s="156">
        <v>0</v>
      </c>
      <c r="G406" s="156">
        <v>0</v>
      </c>
      <c r="H406" s="156">
        <v>0</v>
      </c>
      <c r="I406" s="156">
        <v>0</v>
      </c>
      <c r="J406" s="156">
        <v>0</v>
      </c>
      <c r="K406" s="156">
        <v>0</v>
      </c>
      <c r="L406" s="157">
        <v>1043.5973818181817</v>
      </c>
      <c r="M406" s="157">
        <v>333.15608882961919</v>
      </c>
      <c r="N406" s="165">
        <v>231.89972718445688</v>
      </c>
      <c r="O406" s="157">
        <v>42.982907943352316</v>
      </c>
      <c r="P406" s="156">
        <v>0.85109877287927471</v>
      </c>
      <c r="Q406" s="156">
        <v>0.16875327843327351</v>
      </c>
      <c r="R406" s="157">
        <v>102.8020809830978</v>
      </c>
      <c r="S406" s="157">
        <v>13.845978058213863</v>
      </c>
      <c r="T406" s="156">
        <v>0</v>
      </c>
      <c r="U406" s="156">
        <v>0</v>
      </c>
      <c r="V406" s="156">
        <v>0</v>
      </c>
      <c r="W406" s="158">
        <v>1769.3040168682344</v>
      </c>
    </row>
    <row r="407" spans="1:23" ht="14.4" hidden="1" customHeight="1" outlineLevel="2">
      <c r="A407" s="363"/>
      <c r="B407" s="365"/>
      <c r="C407" s="151" t="str">
        <f t="shared" si="6"/>
        <v>Importations</v>
      </c>
      <c r="D407" s="270"/>
      <c r="E407" s="155" t="s">
        <v>203</v>
      </c>
      <c r="F407" s="156">
        <v>32.285649542504792</v>
      </c>
      <c r="G407" s="156">
        <v>488.25843042777853</v>
      </c>
      <c r="H407" s="156">
        <v>12.566035165927509</v>
      </c>
      <c r="I407" s="157">
        <v>0</v>
      </c>
      <c r="J407" s="157">
        <v>334.35104624778813</v>
      </c>
      <c r="K407" s="157">
        <v>0</v>
      </c>
      <c r="L407" s="156">
        <v>0</v>
      </c>
      <c r="M407" s="156">
        <v>0</v>
      </c>
      <c r="N407" s="156">
        <v>6.0729398095078899</v>
      </c>
      <c r="O407" s="156">
        <v>0</v>
      </c>
      <c r="P407" s="156">
        <v>5.8137704120008102</v>
      </c>
      <c r="Q407" s="156">
        <v>6.7126721442056194</v>
      </c>
      <c r="R407" s="156">
        <v>0</v>
      </c>
      <c r="S407" s="156">
        <v>0</v>
      </c>
      <c r="T407" s="156">
        <v>0</v>
      </c>
      <c r="U407" s="156">
        <v>0</v>
      </c>
      <c r="V407" s="156">
        <v>0</v>
      </c>
      <c r="W407" s="158">
        <v>886.06054374971336</v>
      </c>
    </row>
    <row r="408" spans="1:23" ht="14.4" hidden="1" customHeight="1" outlineLevel="2">
      <c r="A408" s="363"/>
      <c r="B408" s="365"/>
      <c r="C408" s="151" t="str">
        <f t="shared" si="6"/>
        <v>Exportations</v>
      </c>
      <c r="D408" s="270"/>
      <c r="E408" s="155" t="s">
        <v>204</v>
      </c>
      <c r="F408" s="156">
        <v>0</v>
      </c>
      <c r="G408" s="156">
        <v>0</v>
      </c>
      <c r="H408" s="156">
        <v>-65.157894681571904</v>
      </c>
      <c r="I408" s="157">
        <v>-5.5738406638352522</v>
      </c>
      <c r="J408" s="157">
        <v>0</v>
      </c>
      <c r="K408" s="157">
        <v>0</v>
      </c>
      <c r="L408" s="156">
        <v>0</v>
      </c>
      <c r="M408" s="156">
        <v>0</v>
      </c>
      <c r="N408" s="156">
        <v>-18.738232131711527</v>
      </c>
      <c r="O408" s="156">
        <v>0</v>
      </c>
      <c r="P408" s="156">
        <v>0</v>
      </c>
      <c r="Q408" s="156">
        <v>0</v>
      </c>
      <c r="R408" s="156">
        <v>0</v>
      </c>
      <c r="S408" s="156">
        <v>0</v>
      </c>
      <c r="T408" s="156">
        <v>-38.996717051119504</v>
      </c>
      <c r="U408" s="156">
        <v>0</v>
      </c>
      <c r="V408" s="156">
        <v>0</v>
      </c>
      <c r="W408" s="158">
        <v>-128.46668452823818</v>
      </c>
    </row>
    <row r="409" spans="1:23" ht="14.4" hidden="1" customHeight="1" outlineLevel="2">
      <c r="A409" s="363"/>
      <c r="B409" s="365"/>
      <c r="C409" s="151" t="str">
        <f t="shared" si="6"/>
        <v>Soutes maritimes internationales</v>
      </c>
      <c r="D409" s="270"/>
      <c r="E409" s="155" t="s">
        <v>205</v>
      </c>
      <c r="F409" s="156">
        <v>0</v>
      </c>
      <c r="G409" s="156">
        <v>0</v>
      </c>
      <c r="H409" s="156">
        <v>-4.1206907617837594</v>
      </c>
      <c r="I409" s="156">
        <v>-3.1394248169533148</v>
      </c>
      <c r="J409" s="156">
        <v>-0.55515836848917621</v>
      </c>
      <c r="K409" s="156">
        <v>-2.5365301093174413</v>
      </c>
      <c r="L409" s="156">
        <v>0</v>
      </c>
      <c r="M409" s="156">
        <v>0</v>
      </c>
      <c r="N409" s="156">
        <v>0</v>
      </c>
      <c r="O409" s="156">
        <v>0</v>
      </c>
      <c r="P409" s="156">
        <v>-1.1950797401062869</v>
      </c>
      <c r="Q409" s="156">
        <v>-2.150552583502698</v>
      </c>
      <c r="R409" s="156">
        <v>0</v>
      </c>
      <c r="S409" s="156">
        <v>0</v>
      </c>
      <c r="T409" s="156">
        <v>0</v>
      </c>
      <c r="U409" s="156">
        <v>0</v>
      </c>
      <c r="V409" s="156">
        <v>-0.98364465693253067</v>
      </c>
      <c r="W409" s="158">
        <v>-14.681081037085209</v>
      </c>
    </row>
    <row r="410" spans="1:23" ht="14.4" hidden="1" customHeight="1" outlineLevel="2">
      <c r="A410" s="363"/>
      <c r="B410" s="365"/>
      <c r="C410" s="151" t="str">
        <f t="shared" si="6"/>
        <v>Soutes aériennes internationales</v>
      </c>
      <c r="D410" s="270"/>
      <c r="E410" s="155" t="s">
        <v>206</v>
      </c>
      <c r="F410" s="156">
        <v>0</v>
      </c>
      <c r="G410" s="156">
        <v>0</v>
      </c>
      <c r="H410" s="156">
        <v>-53.06134482309249</v>
      </c>
      <c r="I410" s="156">
        <v>-9.9952998429402165</v>
      </c>
      <c r="J410" s="156">
        <v>0</v>
      </c>
      <c r="K410" s="156">
        <v>0</v>
      </c>
      <c r="L410" s="156">
        <v>0</v>
      </c>
      <c r="M410" s="156">
        <v>0</v>
      </c>
      <c r="N410" s="156">
        <v>0</v>
      </c>
      <c r="O410" s="156">
        <v>0</v>
      </c>
      <c r="P410" s="156">
        <v>-18.737841237910885</v>
      </c>
      <c r="Q410" s="156">
        <v>0</v>
      </c>
      <c r="R410" s="156">
        <v>0</v>
      </c>
      <c r="S410" s="156">
        <v>0</v>
      </c>
      <c r="T410" s="156">
        <v>0</v>
      </c>
      <c r="U410" s="156">
        <v>0</v>
      </c>
      <c r="V410" s="156">
        <v>-1.0907231984755397</v>
      </c>
      <c r="W410" s="158">
        <v>-82.88520910241914</v>
      </c>
    </row>
    <row r="411" spans="1:23" ht="14.4" hidden="1" customHeight="1" outlineLevel="2">
      <c r="A411" s="363"/>
      <c r="B411" s="365"/>
      <c r="C411" s="151" t="str">
        <f t="shared" si="6"/>
        <v>Variations de stocks (+ = déstockage, - = stockage)</v>
      </c>
      <c r="D411" s="270"/>
      <c r="E411" s="155" t="s">
        <v>207</v>
      </c>
      <c r="F411" s="156">
        <v>0</v>
      </c>
      <c r="G411" s="156">
        <v>0</v>
      </c>
      <c r="H411" s="156">
        <v>0</v>
      </c>
      <c r="I411" s="157">
        <v>0</v>
      </c>
      <c r="J411" s="157">
        <v>0</v>
      </c>
      <c r="K411" s="157">
        <v>0</v>
      </c>
      <c r="L411" s="156">
        <v>0</v>
      </c>
      <c r="M411" s="156">
        <v>0</v>
      </c>
      <c r="N411" s="156">
        <v>0</v>
      </c>
      <c r="O411" s="156">
        <v>0</v>
      </c>
      <c r="P411" s="156">
        <v>0</v>
      </c>
      <c r="Q411" s="156">
        <v>0</v>
      </c>
      <c r="R411" s="156">
        <v>0</v>
      </c>
      <c r="S411" s="156">
        <v>0</v>
      </c>
      <c r="T411" s="156">
        <v>0</v>
      </c>
      <c r="U411" s="156">
        <v>0</v>
      </c>
      <c r="V411" s="156">
        <v>0</v>
      </c>
      <c r="W411" s="158">
        <v>0</v>
      </c>
    </row>
    <row r="412" spans="1:23" ht="14.4" hidden="1" customHeight="1" outlineLevel="2">
      <c r="A412" s="363"/>
      <c r="B412" s="365"/>
      <c r="C412" s="151" t="str">
        <f t="shared" si="6"/>
        <v>Total approvisionnement / consommation primaire</v>
      </c>
      <c r="D412" s="270"/>
      <c r="E412" s="159" t="s">
        <v>208</v>
      </c>
      <c r="F412" s="160">
        <v>32.285649542504792</v>
      </c>
      <c r="G412" s="160">
        <v>488.25843042777853</v>
      </c>
      <c r="H412" s="160">
        <v>-109.77389510052063</v>
      </c>
      <c r="I412" s="160">
        <v>-18.708565323728784</v>
      </c>
      <c r="J412" s="160">
        <v>333.79588787929896</v>
      </c>
      <c r="K412" s="160">
        <v>-2.5365301093174413</v>
      </c>
      <c r="L412" s="160">
        <v>1043.5973818181817</v>
      </c>
      <c r="M412" s="160">
        <v>333.15608882961919</v>
      </c>
      <c r="N412" s="160">
        <v>219.23443486225324</v>
      </c>
      <c r="O412" s="160">
        <v>42.982907943352316</v>
      </c>
      <c r="P412" s="160">
        <v>-13.268051793137088</v>
      </c>
      <c r="Q412" s="160">
        <v>4.7308728391361949</v>
      </c>
      <c r="R412" s="160">
        <v>102.8020809830978</v>
      </c>
      <c r="S412" s="160">
        <v>13.845978058213863</v>
      </c>
      <c r="T412" s="160">
        <v>-38.996717051119504</v>
      </c>
      <c r="U412" s="160">
        <v>0</v>
      </c>
      <c r="V412" s="160">
        <v>-2.0743678554080702</v>
      </c>
      <c r="W412" s="160">
        <v>2429.3315859502054</v>
      </c>
    </row>
    <row r="413" spans="1:23" ht="14.4" hidden="1" customHeight="1" outlineLevel="2">
      <c r="A413" s="363"/>
      <c r="B413" s="365"/>
      <c r="C413" s="151">
        <f t="shared" si="6"/>
        <v>0</v>
      </c>
      <c r="D413" s="270"/>
      <c r="E413" s="161"/>
      <c r="F413" s="162">
        <v>0</v>
      </c>
      <c r="G413" s="162">
        <v>0</v>
      </c>
      <c r="H413" s="162">
        <v>0</v>
      </c>
      <c r="I413" s="162"/>
      <c r="J413" s="162"/>
      <c r="K413" s="162"/>
      <c r="L413" s="162">
        <v>0</v>
      </c>
      <c r="M413" s="162">
        <v>0</v>
      </c>
      <c r="N413" s="162">
        <v>0</v>
      </c>
      <c r="O413" s="162">
        <v>0</v>
      </c>
      <c r="P413" s="162">
        <v>0</v>
      </c>
      <c r="Q413" s="162">
        <v>0</v>
      </c>
      <c r="R413" s="162">
        <v>0</v>
      </c>
      <c r="S413" s="162">
        <v>0</v>
      </c>
      <c r="T413" s="162">
        <v>0</v>
      </c>
      <c r="U413" s="162">
        <v>0</v>
      </c>
      <c r="V413" s="162">
        <v>0</v>
      </c>
      <c r="W413" s="162">
        <v>0</v>
      </c>
    </row>
    <row r="414" spans="1:23" ht="14.4" hidden="1" customHeight="1" outlineLevel="2">
      <c r="A414" s="363"/>
      <c r="B414" s="365"/>
      <c r="C414" s="151" t="str">
        <f t="shared" si="6"/>
        <v>Écart statistique</v>
      </c>
      <c r="D414" s="270"/>
      <c r="E414" s="163" t="s">
        <v>209</v>
      </c>
      <c r="F414" s="156">
        <v>0</v>
      </c>
      <c r="G414" s="156">
        <v>0</v>
      </c>
      <c r="H414" s="156">
        <v>0</v>
      </c>
      <c r="I414" s="156">
        <v>0</v>
      </c>
      <c r="J414" s="156">
        <v>0</v>
      </c>
      <c r="K414" s="156">
        <v>0</v>
      </c>
      <c r="L414" s="156">
        <v>0</v>
      </c>
      <c r="M414" s="156">
        <v>0</v>
      </c>
      <c r="N414" s="156">
        <v>0</v>
      </c>
      <c r="O414" s="156">
        <v>0</v>
      </c>
      <c r="P414" s="156">
        <v>0</v>
      </c>
      <c r="Q414" s="156">
        <v>0</v>
      </c>
      <c r="R414" s="156">
        <v>0</v>
      </c>
      <c r="S414" s="156">
        <v>0</v>
      </c>
      <c r="T414" s="156">
        <v>0</v>
      </c>
      <c r="U414" s="156">
        <v>0</v>
      </c>
      <c r="V414" s="156">
        <v>0</v>
      </c>
      <c r="W414" s="164">
        <v>0</v>
      </c>
    </row>
    <row r="415" spans="1:23" ht="14.4" hidden="1" customHeight="1" outlineLevel="2">
      <c r="A415" s="363"/>
      <c r="B415" s="365"/>
      <c r="C415" s="151" t="str">
        <f t="shared" si="6"/>
        <v>Production d'électricité</v>
      </c>
      <c r="D415" s="270"/>
      <c r="E415" s="163" t="s">
        <v>13</v>
      </c>
      <c r="F415" s="156">
        <v>0.65592916206991536</v>
      </c>
      <c r="G415" s="156">
        <v>0</v>
      </c>
      <c r="H415" s="156">
        <v>6.58000384142575</v>
      </c>
      <c r="I415" s="156">
        <v>0</v>
      </c>
      <c r="J415" s="156">
        <v>46.14592274678111</v>
      </c>
      <c r="K415" s="156">
        <v>0</v>
      </c>
      <c r="L415" s="156">
        <v>1043.5973818181817</v>
      </c>
      <c r="M415" s="156">
        <v>333.15608882961919</v>
      </c>
      <c r="N415" s="156">
        <v>26.796405953285444</v>
      </c>
      <c r="O415" s="156">
        <v>6.469168171223842</v>
      </c>
      <c r="P415" s="156">
        <v>4.270975313257753</v>
      </c>
      <c r="Q415" s="156">
        <v>5.4916347346843946</v>
      </c>
      <c r="R415" s="156">
        <v>0</v>
      </c>
      <c r="S415" s="156">
        <v>7.4312407626910488</v>
      </c>
      <c r="T415" s="156">
        <v>-727.18332954977416</v>
      </c>
      <c r="U415" s="156">
        <v>0</v>
      </c>
      <c r="V415" s="156">
        <v>0</v>
      </c>
      <c r="W415" s="164">
        <v>753.41142178344603</v>
      </c>
    </row>
    <row r="416" spans="1:23" ht="14.4" hidden="1" customHeight="1" outlineLevel="2">
      <c r="A416" s="363"/>
      <c r="B416" s="365"/>
      <c r="C416" s="151" t="str">
        <f t="shared" si="6"/>
        <v>Production de chaleur</v>
      </c>
      <c r="D416" s="270"/>
      <c r="E416" s="163" t="s">
        <v>210</v>
      </c>
      <c r="F416" s="156">
        <v>0</v>
      </c>
      <c r="G416" s="156">
        <v>0</v>
      </c>
      <c r="H416" s="156">
        <v>0</v>
      </c>
      <c r="I416" s="156">
        <v>0</v>
      </c>
      <c r="J416" s="156">
        <v>14.525485498001785</v>
      </c>
      <c r="K416" s="156">
        <v>0</v>
      </c>
      <c r="L416" s="156">
        <v>0</v>
      </c>
      <c r="M416" s="156">
        <v>0</v>
      </c>
      <c r="N416" s="156">
        <v>14.064717736912733</v>
      </c>
      <c r="O416" s="156">
        <v>13.472887958653605</v>
      </c>
      <c r="P416" s="156">
        <v>0</v>
      </c>
      <c r="Q416" s="156">
        <v>2.4981441048886022</v>
      </c>
      <c r="R416" s="156">
        <v>0</v>
      </c>
      <c r="S416" s="156">
        <v>2.457543896144053</v>
      </c>
      <c r="T416" s="156">
        <v>0</v>
      </c>
      <c r="U416" s="156">
        <v>-42.980651769907261</v>
      </c>
      <c r="V416" s="156">
        <v>0</v>
      </c>
      <c r="W416" s="164">
        <v>4.0381274246935188</v>
      </c>
    </row>
    <row r="417" spans="1:23" ht="14.4" hidden="1" customHeight="1" outlineLevel="2">
      <c r="A417" s="363"/>
      <c r="B417" s="365"/>
      <c r="C417" s="151" t="str">
        <f t="shared" si="6"/>
        <v>Production de gaz renouvelable</v>
      </c>
      <c r="D417" s="270"/>
      <c r="E417" s="163" t="s">
        <v>211</v>
      </c>
      <c r="F417" s="156">
        <v>0</v>
      </c>
      <c r="G417" s="156">
        <v>0</v>
      </c>
      <c r="H417" s="156">
        <v>0</v>
      </c>
      <c r="I417" s="156">
        <v>0</v>
      </c>
      <c r="J417" s="156">
        <v>0</v>
      </c>
      <c r="K417" s="156">
        <v>0</v>
      </c>
      <c r="L417" s="156">
        <v>0</v>
      </c>
      <c r="M417" s="156">
        <v>0</v>
      </c>
      <c r="N417" s="156">
        <v>32.259362168039232</v>
      </c>
      <c r="O417" s="156">
        <v>13.814422829769248</v>
      </c>
      <c r="P417" s="156">
        <v>0</v>
      </c>
      <c r="Q417" s="156">
        <v>-23.036892498904241</v>
      </c>
      <c r="R417" s="156">
        <v>0</v>
      </c>
      <c r="S417" s="156">
        <v>0</v>
      </c>
      <c r="T417" s="156">
        <v>0</v>
      </c>
      <c r="U417" s="156">
        <v>0</v>
      </c>
      <c r="V417" s="156">
        <v>0</v>
      </c>
      <c r="W417" s="164">
        <v>23.036892498904241</v>
      </c>
    </row>
    <row r="418" spans="1:23" ht="14.4" hidden="1" customHeight="1" outlineLevel="2">
      <c r="A418" s="363"/>
      <c r="B418" s="365"/>
      <c r="C418" s="151" t="str">
        <f t="shared" si="6"/>
        <v>Production de gaz de synthèse</v>
      </c>
      <c r="D418" s="270"/>
      <c r="E418" s="163" t="s">
        <v>212</v>
      </c>
      <c r="F418" s="156">
        <v>0</v>
      </c>
      <c r="G418" s="156">
        <v>0</v>
      </c>
      <c r="H418" s="156">
        <v>0</v>
      </c>
      <c r="I418" s="156">
        <v>0</v>
      </c>
      <c r="J418" s="156">
        <v>0</v>
      </c>
      <c r="K418" s="156">
        <v>-2.5365301093174413</v>
      </c>
      <c r="L418" s="156">
        <v>0</v>
      </c>
      <c r="M418" s="156">
        <v>0</v>
      </c>
      <c r="N418" s="156">
        <v>0</v>
      </c>
      <c r="O418" s="156">
        <v>0</v>
      </c>
      <c r="P418" s="156">
        <v>0</v>
      </c>
      <c r="Q418" s="156">
        <v>0</v>
      </c>
      <c r="R418" s="156">
        <v>0</v>
      </c>
      <c r="S418" s="156">
        <v>0</v>
      </c>
      <c r="T418" s="156">
        <v>0</v>
      </c>
      <c r="U418" s="156">
        <v>0</v>
      </c>
      <c r="V418" s="156">
        <v>0</v>
      </c>
      <c r="W418" s="164">
        <v>-2.5365301093174413</v>
      </c>
    </row>
    <row r="419" spans="1:23" ht="14.4" hidden="1" customHeight="1" outlineLevel="2">
      <c r="A419" s="363"/>
      <c r="B419" s="365"/>
      <c r="C419" s="151" t="str">
        <f t="shared" si="6"/>
        <v>Raffinage de pétrole</v>
      </c>
      <c r="D419" s="270"/>
      <c r="E419" s="163" t="s">
        <v>213</v>
      </c>
      <c r="F419" s="156">
        <v>0</v>
      </c>
      <c r="G419" s="156">
        <v>505.91149727170756</v>
      </c>
      <c r="H419" s="156">
        <v>-500.86469968197065</v>
      </c>
      <c r="I419" s="156">
        <v>0</v>
      </c>
      <c r="J419" s="156">
        <v>0</v>
      </c>
      <c r="K419" s="156">
        <v>0</v>
      </c>
      <c r="L419" s="156">
        <v>0</v>
      </c>
      <c r="M419" s="156">
        <v>0</v>
      </c>
      <c r="N419" s="156">
        <v>0</v>
      </c>
      <c r="O419" s="156">
        <v>0</v>
      </c>
      <c r="P419" s="156">
        <v>0</v>
      </c>
      <c r="Q419" s="156">
        <v>0</v>
      </c>
      <c r="R419" s="156">
        <v>0</v>
      </c>
      <c r="S419" s="156">
        <v>0</v>
      </c>
      <c r="T419" s="156">
        <v>0</v>
      </c>
      <c r="U419" s="156">
        <v>0</v>
      </c>
      <c r="V419" s="156">
        <v>0</v>
      </c>
      <c r="W419" s="164">
        <v>5.0467975897369239</v>
      </c>
    </row>
    <row r="420" spans="1:23" ht="14.4" hidden="1" customHeight="1" outlineLevel="2">
      <c r="A420" s="363"/>
      <c r="B420" s="365"/>
      <c r="C420" s="151" t="str">
        <f t="shared" si="6"/>
        <v>Production de biocarburants</v>
      </c>
      <c r="D420" s="270"/>
      <c r="E420" s="163" t="s">
        <v>214</v>
      </c>
      <c r="F420" s="156">
        <v>0</v>
      </c>
      <c r="G420" s="156">
        <v>0</v>
      </c>
      <c r="H420" s="156">
        <v>0</v>
      </c>
      <c r="I420" s="156">
        <v>0</v>
      </c>
      <c r="J420" s="156">
        <v>0</v>
      </c>
      <c r="K420" s="156">
        <v>0</v>
      </c>
      <c r="L420" s="156">
        <v>0</v>
      </c>
      <c r="M420" s="156">
        <v>0</v>
      </c>
      <c r="N420" s="156">
        <v>61.507827747062429</v>
      </c>
      <c r="O420" s="156">
        <v>7.2727272727272725</v>
      </c>
      <c r="P420" s="156">
        <v>-37.82930526088434</v>
      </c>
      <c r="Q420" s="156">
        <v>0</v>
      </c>
      <c r="R420" s="156">
        <v>0</v>
      </c>
      <c r="S420" s="156">
        <v>0</v>
      </c>
      <c r="T420" s="156">
        <v>0</v>
      </c>
      <c r="U420" s="156">
        <v>0</v>
      </c>
      <c r="V420" s="156">
        <v>0</v>
      </c>
      <c r="W420" s="164">
        <v>30.951249758905362</v>
      </c>
    </row>
    <row r="421" spans="1:23" ht="14.4" hidden="1" customHeight="1" outlineLevel="2">
      <c r="A421" s="363"/>
      <c r="B421" s="365"/>
      <c r="C421" s="151" t="str">
        <f t="shared" si="6"/>
        <v>Production d'e-fuels</v>
      </c>
      <c r="D421" s="270"/>
      <c r="E421" s="163" t="s">
        <v>215</v>
      </c>
      <c r="F421" s="156">
        <v>0</v>
      </c>
      <c r="G421" s="156">
        <v>0</v>
      </c>
      <c r="H421" s="156">
        <v>0</v>
      </c>
      <c r="I421" s="156">
        <v>-19.362812179530152</v>
      </c>
      <c r="J421" s="156">
        <v>0</v>
      </c>
      <c r="K421" s="156">
        <v>0</v>
      </c>
      <c r="L421" s="156">
        <v>0</v>
      </c>
      <c r="M421" s="156">
        <v>0</v>
      </c>
      <c r="N421" s="156">
        <v>0</v>
      </c>
      <c r="O421" s="156">
        <v>0</v>
      </c>
      <c r="P421" s="156">
        <v>0</v>
      </c>
      <c r="Q421" s="156">
        <v>0</v>
      </c>
      <c r="R421" s="156">
        <v>0</v>
      </c>
      <c r="S421" s="156">
        <v>0</v>
      </c>
      <c r="T421" s="156">
        <v>0</v>
      </c>
      <c r="U421" s="156">
        <v>0</v>
      </c>
      <c r="V421" s="156">
        <v>26.967704985418038</v>
      </c>
      <c r="W421" s="164">
        <v>7.6048928058878857</v>
      </c>
    </row>
    <row r="422" spans="1:23" ht="14.4" hidden="1" customHeight="1" outlineLevel="2">
      <c r="A422" s="363"/>
      <c r="B422" s="365"/>
      <c r="C422" s="151" t="str">
        <f t="shared" si="6"/>
        <v>Production d'hydrogène</v>
      </c>
      <c r="D422" s="270"/>
      <c r="E422" s="163" t="s">
        <v>216</v>
      </c>
      <c r="F422" s="156">
        <v>0</v>
      </c>
      <c r="G422" s="156">
        <v>0</v>
      </c>
      <c r="H422" s="156">
        <v>0</v>
      </c>
      <c r="I422" s="156">
        <v>0</v>
      </c>
      <c r="J422" s="156">
        <v>24.151713161690811</v>
      </c>
      <c r="K422" s="156">
        <v>0</v>
      </c>
      <c r="L422" s="156">
        <v>0</v>
      </c>
      <c r="M422" s="156">
        <v>0</v>
      </c>
      <c r="N422" s="156">
        <v>0</v>
      </c>
      <c r="O422" s="156">
        <v>0.51936247806197</v>
      </c>
      <c r="P422" s="156">
        <v>0</v>
      </c>
      <c r="Q422" s="156">
        <v>1.8164107414076864</v>
      </c>
      <c r="R422" s="156">
        <v>0</v>
      </c>
      <c r="S422" s="156">
        <v>0</v>
      </c>
      <c r="T422" s="156">
        <v>25.613419119375369</v>
      </c>
      <c r="U422" s="156">
        <v>0</v>
      </c>
      <c r="V422" s="156">
        <v>-36.355373464337895</v>
      </c>
      <c r="W422" s="164">
        <v>15.745532036197943</v>
      </c>
    </row>
    <row r="423" spans="1:23" ht="14.4" hidden="1" customHeight="1" outlineLevel="2">
      <c r="A423" s="363"/>
      <c r="B423" s="365"/>
      <c r="C423" s="151" t="str">
        <f t="shared" si="6"/>
        <v>Autres transformations, transferts</v>
      </c>
      <c r="D423" s="270"/>
      <c r="E423" s="163" t="s">
        <v>217</v>
      </c>
      <c r="F423" s="156">
        <v>18.875583984375002</v>
      </c>
      <c r="G423" s="156">
        <v>-17.653066843928993</v>
      </c>
      <c r="H423" s="156">
        <v>23.241226255686207</v>
      </c>
      <c r="I423" s="156">
        <v>0</v>
      </c>
      <c r="J423" s="156">
        <v>0</v>
      </c>
      <c r="K423" s="156">
        <v>0</v>
      </c>
      <c r="L423" s="156">
        <v>0</v>
      </c>
      <c r="M423" s="156">
        <v>0</v>
      </c>
      <c r="N423" s="156">
        <v>0</v>
      </c>
      <c r="O423" s="156">
        <v>0</v>
      </c>
      <c r="P423" s="156">
        <v>0</v>
      </c>
      <c r="Q423" s="156">
        <v>0</v>
      </c>
      <c r="R423" s="156">
        <v>0</v>
      </c>
      <c r="S423" s="156">
        <v>0</v>
      </c>
      <c r="T423" s="156">
        <v>0</v>
      </c>
      <c r="U423" s="156">
        <v>0</v>
      </c>
      <c r="V423" s="156">
        <v>0</v>
      </c>
      <c r="W423" s="164">
        <v>24.463743396132216</v>
      </c>
    </row>
    <row r="424" spans="1:23" ht="14.4" hidden="1" customHeight="1" outlineLevel="2">
      <c r="A424" s="363"/>
      <c r="B424" s="365"/>
      <c r="C424" s="151" t="str">
        <f t="shared" si="6"/>
        <v>Usages internes de la branche énergie</v>
      </c>
      <c r="D424" s="270"/>
      <c r="E424" s="163" t="s">
        <v>218</v>
      </c>
      <c r="F424" s="156">
        <v>7.3405048828125015</v>
      </c>
      <c r="G424" s="156">
        <v>0</v>
      </c>
      <c r="H424" s="156">
        <v>17.314569039455264</v>
      </c>
      <c r="I424" s="156">
        <v>0</v>
      </c>
      <c r="J424" s="156">
        <v>4.6382154563832918</v>
      </c>
      <c r="K424" s="156">
        <v>0</v>
      </c>
      <c r="L424" s="156">
        <v>0</v>
      </c>
      <c r="M424" s="156">
        <v>0</v>
      </c>
      <c r="N424" s="156">
        <v>0</v>
      </c>
      <c r="O424" s="156">
        <v>0</v>
      </c>
      <c r="P424" s="156">
        <v>0</v>
      </c>
      <c r="Q424" s="156">
        <v>0.3488325784400777</v>
      </c>
      <c r="R424" s="156">
        <v>0</v>
      </c>
      <c r="S424" s="156">
        <v>0</v>
      </c>
      <c r="T424" s="156">
        <v>33.650469963800624</v>
      </c>
      <c r="U424" s="156">
        <v>0</v>
      </c>
      <c r="V424" s="156">
        <v>0</v>
      </c>
      <c r="W424" s="164">
        <v>63.292591920891752</v>
      </c>
    </row>
    <row r="425" spans="1:23" ht="14.4" hidden="1" customHeight="1" outlineLevel="2">
      <c r="A425" s="363"/>
      <c r="B425" s="365"/>
      <c r="C425" s="151" t="str">
        <f t="shared" si="6"/>
        <v>Pertes de transport et de distribution</v>
      </c>
      <c r="D425" s="270"/>
      <c r="E425" s="163" t="s">
        <v>219</v>
      </c>
      <c r="F425" s="156">
        <v>0</v>
      </c>
      <c r="G425" s="156">
        <v>0</v>
      </c>
      <c r="H425" s="156">
        <v>0</v>
      </c>
      <c r="I425" s="156">
        <v>0</v>
      </c>
      <c r="J425" s="156">
        <v>3.1153781274688703</v>
      </c>
      <c r="K425" s="156">
        <v>0</v>
      </c>
      <c r="L425" s="156">
        <v>0</v>
      </c>
      <c r="M425" s="156">
        <v>0</v>
      </c>
      <c r="N425" s="156">
        <v>0</v>
      </c>
      <c r="O425" s="156">
        <v>0</v>
      </c>
      <c r="P425" s="156">
        <v>0</v>
      </c>
      <c r="Q425" s="156">
        <v>0.23430248017589736</v>
      </c>
      <c r="R425" s="156">
        <v>0</v>
      </c>
      <c r="S425" s="156">
        <v>0</v>
      </c>
      <c r="T425" s="156">
        <v>52.666829057188068</v>
      </c>
      <c r="U425" s="156">
        <v>3.3353483353926596</v>
      </c>
      <c r="V425" s="156">
        <v>0</v>
      </c>
      <c r="W425" s="164">
        <v>59.351858000225491</v>
      </c>
    </row>
    <row r="426" spans="1:23" ht="14.4" hidden="1" customHeight="1" outlineLevel="2">
      <c r="A426" s="363"/>
      <c r="B426" s="365"/>
      <c r="C426" s="151" t="str">
        <f t="shared" si="6"/>
        <v>Consommation nette de la branche énergie</v>
      </c>
      <c r="D426" s="270"/>
      <c r="E426" s="159" t="s">
        <v>220</v>
      </c>
      <c r="F426" s="160">
        <v>26.872018029257418</v>
      </c>
      <c r="G426" s="160">
        <v>488.25843042777853</v>
      </c>
      <c r="H426" s="160">
        <v>-453.72890054540341</v>
      </c>
      <c r="I426" s="160">
        <v>-19.362812179530152</v>
      </c>
      <c r="J426" s="160">
        <v>92.576714990325868</v>
      </c>
      <c r="K426" s="160">
        <v>-2.5365301093174413</v>
      </c>
      <c r="L426" s="160">
        <v>1043.5973818181817</v>
      </c>
      <c r="M426" s="160">
        <v>333.15608882961919</v>
      </c>
      <c r="N426" s="160">
        <v>134.62831360529984</v>
      </c>
      <c r="O426" s="160">
        <v>41.548568710435937</v>
      </c>
      <c r="P426" s="160">
        <v>-33.558329947626589</v>
      </c>
      <c r="Q426" s="160">
        <v>-12.647567859307582</v>
      </c>
      <c r="R426" s="160">
        <v>0</v>
      </c>
      <c r="S426" s="160">
        <v>9.8887846588351014</v>
      </c>
      <c r="T426" s="160">
        <v>-615.25261140941018</v>
      </c>
      <c r="U426" s="160">
        <v>-39.645303434514595</v>
      </c>
      <c r="V426" s="160">
        <v>-9.3876684789198563</v>
      </c>
      <c r="W426" s="160">
        <v>984.40657710570372</v>
      </c>
    </row>
    <row r="427" spans="1:23" ht="14.4" hidden="1" customHeight="1" outlineLevel="2">
      <c r="A427" s="363"/>
      <c r="B427" s="365"/>
      <c r="C427" s="151">
        <f t="shared" si="6"/>
        <v>0</v>
      </c>
      <c r="D427" s="270"/>
      <c r="E427" s="161"/>
      <c r="F427" s="162">
        <v>0</v>
      </c>
      <c r="G427" s="162">
        <v>0</v>
      </c>
      <c r="H427" s="162">
        <v>0</v>
      </c>
      <c r="I427" s="162"/>
      <c r="J427" s="162"/>
      <c r="K427" s="162"/>
      <c r="L427" s="162">
        <v>0</v>
      </c>
      <c r="M427" s="162">
        <v>0</v>
      </c>
      <c r="N427" s="162">
        <v>0</v>
      </c>
      <c r="O427" s="162">
        <v>0</v>
      </c>
      <c r="P427" s="162">
        <v>0</v>
      </c>
      <c r="Q427" s="162">
        <v>0</v>
      </c>
      <c r="R427" s="162">
        <v>0</v>
      </c>
      <c r="S427" s="162">
        <v>0</v>
      </c>
      <c r="T427" s="162">
        <v>0</v>
      </c>
      <c r="U427" s="162">
        <v>0</v>
      </c>
      <c r="V427" s="162">
        <v>0</v>
      </c>
      <c r="W427" s="162">
        <v>0</v>
      </c>
    </row>
    <row r="428" spans="1:23" ht="14.4" hidden="1" customHeight="1" outlineLevel="2">
      <c r="A428" s="363"/>
      <c r="B428" s="365"/>
      <c r="C428" s="151" t="str">
        <f t="shared" si="6"/>
        <v>Industrie</v>
      </c>
      <c r="D428" s="270"/>
      <c r="E428" s="163" t="s">
        <v>0</v>
      </c>
      <c r="F428" s="156">
        <v>5.4136315132473705</v>
      </c>
      <c r="G428" s="156">
        <v>0</v>
      </c>
      <c r="H428" s="156">
        <v>20.931603011636607</v>
      </c>
      <c r="I428" s="156">
        <v>0</v>
      </c>
      <c r="J428" s="156">
        <v>100.93609019627196</v>
      </c>
      <c r="K428" s="156">
        <v>0</v>
      </c>
      <c r="L428" s="156">
        <v>0</v>
      </c>
      <c r="M428" s="156">
        <v>0</v>
      </c>
      <c r="N428" s="156">
        <v>24.216696088455887</v>
      </c>
      <c r="O428" s="156">
        <v>1.4111175028292218</v>
      </c>
      <c r="P428" s="156">
        <v>1.1605174037297319</v>
      </c>
      <c r="Q428" s="156">
        <v>7.609715159342759</v>
      </c>
      <c r="R428" s="156">
        <v>1.005239725112915E-3</v>
      </c>
      <c r="S428" s="156">
        <v>3.7669078281368643E-4</v>
      </c>
      <c r="T428" s="156">
        <v>126.12959307862093</v>
      </c>
      <c r="U428" s="156">
        <v>18.428312952331062</v>
      </c>
      <c r="V428" s="156">
        <v>5.8254531250000001</v>
      </c>
      <c r="W428" s="164">
        <v>312.06411196197342</v>
      </c>
    </row>
    <row r="429" spans="1:23" ht="14.4" hidden="1" customHeight="1" outlineLevel="2">
      <c r="A429" s="363"/>
      <c r="B429" s="365"/>
      <c r="C429" s="151" t="str">
        <f t="shared" si="6"/>
        <v>Transport</v>
      </c>
      <c r="D429" s="270"/>
      <c r="E429" s="163" t="s">
        <v>1</v>
      </c>
      <c r="F429" s="156">
        <v>0</v>
      </c>
      <c r="G429" s="156">
        <v>0</v>
      </c>
      <c r="H429" s="156">
        <v>178.77362945765879</v>
      </c>
      <c r="I429" s="156">
        <v>0.65424685580136888</v>
      </c>
      <c r="J429" s="156">
        <v>7.973156973143821</v>
      </c>
      <c r="K429" s="156">
        <v>0</v>
      </c>
      <c r="L429" s="156">
        <v>0</v>
      </c>
      <c r="M429" s="156">
        <v>0</v>
      </c>
      <c r="N429" s="156">
        <v>0</v>
      </c>
      <c r="O429" s="156">
        <v>0</v>
      </c>
      <c r="P429" s="156">
        <v>17.25805257957942</v>
      </c>
      <c r="Q429" s="156">
        <v>0.59964806107088353</v>
      </c>
      <c r="R429" s="156">
        <v>0</v>
      </c>
      <c r="S429" s="156">
        <v>0</v>
      </c>
      <c r="T429" s="156">
        <v>105.28692685175298</v>
      </c>
      <c r="U429" s="156">
        <v>0</v>
      </c>
      <c r="V429" s="156">
        <v>1.165446176087376</v>
      </c>
      <c r="W429" s="164">
        <v>311.71110695509458</v>
      </c>
    </row>
    <row r="430" spans="1:23" ht="14.4" hidden="1" customHeight="1" outlineLevel="2">
      <c r="A430" s="363"/>
      <c r="B430" s="365"/>
      <c r="C430" s="151" t="str">
        <f t="shared" si="6"/>
        <v>Résidentiel</v>
      </c>
      <c r="D430" s="270"/>
      <c r="E430" s="163" t="s">
        <v>221</v>
      </c>
      <c r="F430" s="156">
        <v>0</v>
      </c>
      <c r="G430" s="156">
        <v>0</v>
      </c>
      <c r="H430" s="156">
        <v>3.6935979831727672</v>
      </c>
      <c r="I430" s="156">
        <v>0</v>
      </c>
      <c r="J430" s="156">
        <v>74.525398692982435</v>
      </c>
      <c r="K430" s="156" t="s">
        <v>227</v>
      </c>
      <c r="L430" s="156">
        <v>0</v>
      </c>
      <c r="M430" s="156">
        <v>0</v>
      </c>
      <c r="N430" s="156">
        <v>58.424168993266917</v>
      </c>
      <c r="O430" s="156">
        <v>0</v>
      </c>
      <c r="P430" s="156">
        <v>0</v>
      </c>
      <c r="Q430" s="156">
        <v>5.6049330243100144</v>
      </c>
      <c r="R430" s="156">
        <v>77.328163224449725</v>
      </c>
      <c r="S430" s="156">
        <v>2.4975758235560557</v>
      </c>
      <c r="T430" s="156">
        <v>173.27689188469179</v>
      </c>
      <c r="U430" s="156">
        <v>12.438369998550002</v>
      </c>
      <c r="V430" s="156">
        <v>0</v>
      </c>
      <c r="W430" s="164">
        <v>407.78909962497971</v>
      </c>
    </row>
    <row r="431" spans="1:23" ht="14.4" hidden="1" customHeight="1" outlineLevel="2">
      <c r="A431" s="363"/>
      <c r="B431" s="365"/>
      <c r="C431" s="151" t="str">
        <f t="shared" si="6"/>
        <v>Tertiaire</v>
      </c>
      <c r="D431" s="270"/>
      <c r="E431" s="163" t="s">
        <v>222</v>
      </c>
      <c r="F431" s="156">
        <v>0</v>
      </c>
      <c r="G431" s="156">
        <v>0</v>
      </c>
      <c r="H431" s="156">
        <v>15.009319942589707</v>
      </c>
      <c r="I431" s="156">
        <v>0</v>
      </c>
      <c r="J431" s="156">
        <v>45.420380082853789</v>
      </c>
      <c r="K431" s="156" t="s">
        <v>227</v>
      </c>
      <c r="L431" s="156">
        <v>0</v>
      </c>
      <c r="M431" s="156">
        <v>0</v>
      </c>
      <c r="N431" s="156">
        <v>0.24963956070138199</v>
      </c>
      <c r="O431" s="156">
        <v>2.3221730087155199E-2</v>
      </c>
      <c r="P431" s="156">
        <v>0</v>
      </c>
      <c r="Q431" s="156">
        <v>3.4159923028640162</v>
      </c>
      <c r="R431" s="156">
        <v>25.47291251892295</v>
      </c>
      <c r="S431" s="156">
        <v>1.3904101941681219</v>
      </c>
      <c r="T431" s="156">
        <v>164.80055190807303</v>
      </c>
      <c r="U431" s="156">
        <v>8.7786204836335351</v>
      </c>
      <c r="V431" s="156">
        <v>0</v>
      </c>
      <c r="W431" s="164">
        <v>264.56104872389369</v>
      </c>
    </row>
    <row r="432" spans="1:23" ht="14.4" hidden="1" customHeight="1" outlineLevel="2">
      <c r="A432" s="363"/>
      <c r="B432" s="365"/>
      <c r="C432" s="151" t="str">
        <f t="shared" si="6"/>
        <v>Agriculture</v>
      </c>
      <c r="D432" s="270"/>
      <c r="E432" s="163" t="s">
        <v>118</v>
      </c>
      <c r="F432" s="156">
        <v>0</v>
      </c>
      <c r="G432" s="156">
        <v>0</v>
      </c>
      <c r="H432" s="156">
        <v>33.89544076801841</v>
      </c>
      <c r="I432" s="156">
        <v>0</v>
      </c>
      <c r="J432" s="156">
        <v>1.9698893924130823</v>
      </c>
      <c r="K432" s="156">
        <v>0</v>
      </c>
      <c r="L432" s="156">
        <v>0</v>
      </c>
      <c r="M432" s="156">
        <v>0</v>
      </c>
      <c r="N432" s="156">
        <v>1.7156166145292158</v>
      </c>
      <c r="O432" s="156">
        <v>0</v>
      </c>
      <c r="P432" s="156">
        <v>1.8717081711803476</v>
      </c>
      <c r="Q432" s="156">
        <v>0.14815215085610459</v>
      </c>
      <c r="R432" s="156">
        <v>0</v>
      </c>
      <c r="S432" s="156">
        <v>6.8830690871769351E-2</v>
      </c>
      <c r="T432" s="156">
        <v>6.5819306351520419</v>
      </c>
      <c r="U432" s="156">
        <v>0</v>
      </c>
      <c r="V432" s="156">
        <v>0</v>
      </c>
      <c r="W432" s="164">
        <v>46.25156842302097</v>
      </c>
    </row>
    <row r="433" spans="1:23" ht="14.4" hidden="1" customHeight="1" outlineLevel="2">
      <c r="A433" s="363"/>
      <c r="B433" s="365"/>
      <c r="C433" s="151" t="str">
        <f t="shared" si="6"/>
        <v>Puits technologiques</v>
      </c>
      <c r="D433" s="270"/>
      <c r="E433" s="163" t="s">
        <v>223</v>
      </c>
      <c r="F433" s="156">
        <v>0</v>
      </c>
      <c r="G433" s="156">
        <v>0</v>
      </c>
      <c r="H433" s="156">
        <v>0</v>
      </c>
      <c r="I433" s="156">
        <v>0</v>
      </c>
      <c r="J433" s="156">
        <v>0</v>
      </c>
      <c r="K433" s="156">
        <v>0</v>
      </c>
      <c r="L433" s="156">
        <v>0</v>
      </c>
      <c r="M433" s="156">
        <v>0</v>
      </c>
      <c r="N433" s="156">
        <v>0</v>
      </c>
      <c r="O433" s="156">
        <v>0</v>
      </c>
      <c r="P433" s="156">
        <v>0</v>
      </c>
      <c r="Q433" s="156">
        <v>0</v>
      </c>
      <c r="R433" s="156">
        <v>0</v>
      </c>
      <c r="S433" s="156">
        <v>0</v>
      </c>
      <c r="T433" s="156">
        <v>0.18000000000000002</v>
      </c>
      <c r="U433" s="156">
        <v>0</v>
      </c>
      <c r="V433" s="156">
        <v>0</v>
      </c>
      <c r="W433" s="164">
        <v>0.18000000000000002</v>
      </c>
    </row>
    <row r="434" spans="1:23" ht="14.4" hidden="1" customHeight="1" outlineLevel="2">
      <c r="A434" s="363"/>
      <c r="B434" s="365"/>
      <c r="C434" s="151" t="str">
        <f t="shared" si="6"/>
        <v>Consommation finale énergétique</v>
      </c>
      <c r="D434" s="270"/>
      <c r="E434" s="159" t="s">
        <v>224</v>
      </c>
      <c r="F434" s="160">
        <v>5.4136315132473705</v>
      </c>
      <c r="G434" s="160">
        <v>0</v>
      </c>
      <c r="H434" s="160">
        <v>252.30359116307625</v>
      </c>
      <c r="I434" s="160">
        <v>0.65424685580136888</v>
      </c>
      <c r="J434" s="160">
        <v>230.82491533766509</v>
      </c>
      <c r="K434" s="160">
        <v>0</v>
      </c>
      <c r="L434" s="160">
        <v>0</v>
      </c>
      <c r="M434" s="160">
        <v>0</v>
      </c>
      <c r="N434" s="160">
        <v>84.606121256953401</v>
      </c>
      <c r="O434" s="160">
        <v>1.4343392329163771</v>
      </c>
      <c r="P434" s="160">
        <v>20.290278154489499</v>
      </c>
      <c r="Q434" s="160">
        <v>17.378440698443779</v>
      </c>
      <c r="R434" s="160">
        <v>102.8020809830978</v>
      </c>
      <c r="S434" s="160">
        <v>3.9571933993787609</v>
      </c>
      <c r="T434" s="160">
        <v>576.25589435829067</v>
      </c>
      <c r="U434" s="160">
        <v>39.645303434514602</v>
      </c>
      <c r="V434" s="160">
        <v>6.9908993010873761</v>
      </c>
      <c r="W434" s="160">
        <v>1342.5569356889625</v>
      </c>
    </row>
    <row r="435" spans="1:23" ht="14.4" hidden="1" customHeight="1" outlineLevel="2">
      <c r="A435" s="363"/>
      <c r="B435" s="365"/>
      <c r="C435" s="151" t="str">
        <f t="shared" si="6"/>
        <v>Consommation finale non énergétique</v>
      </c>
      <c r="D435" s="270"/>
      <c r="E435" s="155" t="s">
        <v>225</v>
      </c>
      <c r="F435" s="156">
        <v>0</v>
      </c>
      <c r="G435" s="156">
        <v>0</v>
      </c>
      <c r="H435" s="156">
        <v>91.651414281806467</v>
      </c>
      <c r="I435" s="156">
        <v>0</v>
      </c>
      <c r="J435" s="156">
        <v>10.394257551308016</v>
      </c>
      <c r="K435" s="156">
        <v>0</v>
      </c>
      <c r="L435" s="156">
        <v>0</v>
      </c>
      <c r="M435" s="156">
        <v>0</v>
      </c>
      <c r="N435" s="156">
        <v>0</v>
      </c>
      <c r="O435" s="156">
        <v>0</v>
      </c>
      <c r="P435" s="156">
        <v>0</v>
      </c>
      <c r="Q435" s="156">
        <v>0</v>
      </c>
      <c r="R435" s="156">
        <v>0</v>
      </c>
      <c r="S435" s="156">
        <v>0</v>
      </c>
      <c r="T435" s="156">
        <v>0</v>
      </c>
      <c r="U435" s="156">
        <v>0</v>
      </c>
      <c r="V435" s="156">
        <v>0.32240132242441177</v>
      </c>
      <c r="W435" s="164">
        <v>102.36807315553889</v>
      </c>
    </row>
    <row r="436" spans="1:23" ht="14.4" hidden="1" customHeight="1" outlineLevel="2">
      <c r="A436" s="363"/>
      <c r="B436" s="365"/>
      <c r="C436" s="151" t="str">
        <f t="shared" si="6"/>
        <v>Consommation finale</v>
      </c>
      <c r="D436" s="270"/>
      <c r="E436" s="159" t="s">
        <v>226</v>
      </c>
      <c r="F436" s="160">
        <v>5.4136315132473705</v>
      </c>
      <c r="G436" s="160">
        <v>0</v>
      </c>
      <c r="H436" s="160">
        <v>343.95500544488272</v>
      </c>
      <c r="I436" s="160">
        <v>0.65424685580136888</v>
      </c>
      <c r="J436" s="160">
        <v>241.21917288897311</v>
      </c>
      <c r="K436" s="160">
        <v>0</v>
      </c>
      <c r="L436" s="160">
        <v>0</v>
      </c>
      <c r="M436" s="160">
        <v>0</v>
      </c>
      <c r="N436" s="160">
        <v>84.606121256953401</v>
      </c>
      <c r="O436" s="160">
        <v>1.4343392329163771</v>
      </c>
      <c r="P436" s="160">
        <v>20.290278154489499</v>
      </c>
      <c r="Q436" s="160">
        <v>17.378440698443779</v>
      </c>
      <c r="R436" s="160">
        <v>102.8020809830978</v>
      </c>
      <c r="S436" s="160">
        <v>3.9571933993787609</v>
      </c>
      <c r="T436" s="160">
        <v>576.25589435829067</v>
      </c>
      <c r="U436" s="160">
        <v>39.645303434514602</v>
      </c>
      <c r="V436" s="160">
        <v>7.3133006235117879</v>
      </c>
      <c r="W436" s="160">
        <v>1444.9250088445015</v>
      </c>
    </row>
    <row r="437" spans="1:23" outlineLevel="1" collapsed="1">
      <c r="A437" s="363"/>
      <c r="B437" s="365"/>
      <c r="C437" s="151" t="str">
        <f t="shared" si="6"/>
        <v/>
      </c>
      <c r="D437" s="269"/>
      <c r="E437" s="114"/>
      <c r="F437" s="169"/>
      <c r="G437" s="169"/>
      <c r="H437" s="169"/>
      <c r="I437" s="169"/>
      <c r="J437" s="169"/>
      <c r="K437" s="169"/>
      <c r="L437" s="169"/>
      <c r="M437" s="271"/>
      <c r="N437" s="169"/>
      <c r="O437" s="169"/>
      <c r="P437" s="169"/>
      <c r="Q437" s="169"/>
      <c r="R437" s="169"/>
      <c r="S437" s="169"/>
      <c r="T437" s="169"/>
      <c r="U437" s="169"/>
      <c r="V437" s="169"/>
      <c r="W437" s="169"/>
    </row>
    <row r="438" spans="1:23" ht="28.2" outlineLevel="1">
      <c r="A438" s="363"/>
      <c r="B438" s="365"/>
      <c r="C438" s="151">
        <f t="shared" si="6"/>
        <v>2045</v>
      </c>
      <c r="D438" s="269"/>
      <c r="E438" s="654">
        <v>2045</v>
      </c>
      <c r="F438" s="655"/>
      <c r="G438" s="655"/>
      <c r="H438" s="655"/>
      <c r="I438" s="655"/>
      <c r="J438" s="655"/>
      <c r="K438" s="655"/>
      <c r="L438" s="656"/>
      <c r="M438" s="272"/>
      <c r="N438" s="273"/>
      <c r="O438" s="273"/>
      <c r="P438" s="273"/>
      <c r="Q438" s="273"/>
      <c r="R438" s="273"/>
      <c r="S438" s="273"/>
      <c r="T438" s="273"/>
      <c r="U438" s="273"/>
      <c r="V438" s="273"/>
      <c r="W438" s="273"/>
    </row>
    <row r="439" spans="1:23" ht="14.4" hidden="1" customHeight="1" outlineLevel="2">
      <c r="A439" s="363"/>
      <c r="B439" s="365"/>
      <c r="C439" s="151" t="str">
        <f t="shared" si="6"/>
        <v>TWh</v>
      </c>
      <c r="D439" s="269"/>
      <c r="E439" s="662" t="s">
        <v>184</v>
      </c>
      <c r="F439" s="659" t="s">
        <v>185</v>
      </c>
      <c r="G439" s="659" t="s">
        <v>186</v>
      </c>
      <c r="H439" s="659" t="s">
        <v>187</v>
      </c>
      <c r="I439" s="657" t="s">
        <v>188</v>
      </c>
      <c r="J439" s="657" t="s">
        <v>189</v>
      </c>
      <c r="K439" s="657" t="s">
        <v>190</v>
      </c>
      <c r="L439" s="659" t="s">
        <v>191</v>
      </c>
      <c r="M439" s="659" t="s">
        <v>192</v>
      </c>
      <c r="N439" s="659" t="s">
        <v>193</v>
      </c>
      <c r="O439" s="660"/>
      <c r="P439" s="660"/>
      <c r="Q439" s="660"/>
      <c r="R439" s="660"/>
      <c r="S439" s="661"/>
      <c r="T439" s="657" t="s">
        <v>194</v>
      </c>
      <c r="U439" s="657" t="s">
        <v>195</v>
      </c>
      <c r="V439" s="657" t="s">
        <v>196</v>
      </c>
      <c r="W439" s="657" t="s">
        <v>144</v>
      </c>
    </row>
    <row r="440" spans="1:23" ht="36" hidden="1" customHeight="1" outlineLevel="2">
      <c r="A440" s="363"/>
      <c r="B440" s="365"/>
      <c r="C440" s="151" t="str">
        <f t="shared" si="6"/>
        <v/>
      </c>
      <c r="D440" s="270"/>
      <c r="E440" s="662"/>
      <c r="F440" s="659"/>
      <c r="G440" s="659"/>
      <c r="H440" s="659"/>
      <c r="I440" s="658"/>
      <c r="J440" s="658"/>
      <c r="K440" s="658"/>
      <c r="L440" s="659"/>
      <c r="M440" s="659"/>
      <c r="N440" s="153" t="s">
        <v>197</v>
      </c>
      <c r="O440" s="153" t="s">
        <v>24</v>
      </c>
      <c r="P440" s="153" t="s">
        <v>198</v>
      </c>
      <c r="Q440" s="153" t="s">
        <v>199</v>
      </c>
      <c r="R440" s="154" t="s">
        <v>200</v>
      </c>
      <c r="S440" s="153" t="s">
        <v>201</v>
      </c>
      <c r="T440" s="658"/>
      <c r="U440" s="658"/>
      <c r="V440" s="658"/>
      <c r="W440" s="658"/>
    </row>
    <row r="441" spans="1:23" ht="14.4" hidden="1" customHeight="1" outlineLevel="2">
      <c r="A441" s="363"/>
      <c r="B441" s="365"/>
      <c r="C441" s="151" t="str">
        <f t="shared" si="6"/>
        <v>Production d'énergie primaire</v>
      </c>
      <c r="D441" s="270"/>
      <c r="E441" s="155" t="s">
        <v>202</v>
      </c>
      <c r="F441" s="156">
        <v>0</v>
      </c>
      <c r="G441" s="156">
        <v>0</v>
      </c>
      <c r="H441" s="156">
        <v>0</v>
      </c>
      <c r="I441" s="156">
        <v>0</v>
      </c>
      <c r="J441" s="156">
        <v>0</v>
      </c>
      <c r="K441" s="156">
        <v>0</v>
      </c>
      <c r="L441" s="157">
        <v>952.02618181818184</v>
      </c>
      <c r="M441" s="157">
        <v>353.229956637557</v>
      </c>
      <c r="N441" s="165">
        <v>232.76129002258071</v>
      </c>
      <c r="O441" s="157">
        <v>43.763249063352276</v>
      </c>
      <c r="P441" s="156">
        <v>0.93138855044276414</v>
      </c>
      <c r="Q441" s="156">
        <v>0.16954968895913461</v>
      </c>
      <c r="R441" s="157">
        <v>105.63524522251721</v>
      </c>
      <c r="S441" s="157">
        <v>13.957253608213723</v>
      </c>
      <c r="T441" s="156">
        <v>0</v>
      </c>
      <c r="U441" s="156">
        <v>0</v>
      </c>
      <c r="V441" s="156">
        <v>0</v>
      </c>
      <c r="W441" s="158">
        <v>1702.4741146118047</v>
      </c>
    </row>
    <row r="442" spans="1:23" ht="14.4" hidden="1" customHeight="1" outlineLevel="2">
      <c r="A442" s="363"/>
      <c r="B442" s="365"/>
      <c r="C442" s="151" t="str">
        <f t="shared" si="6"/>
        <v>Importations</v>
      </c>
      <c r="D442" s="270"/>
      <c r="E442" s="155" t="s">
        <v>203</v>
      </c>
      <c r="F442" s="156">
        <v>32.304837547387784</v>
      </c>
      <c r="G442" s="156">
        <v>483.34998291520134</v>
      </c>
      <c r="H442" s="156">
        <v>12.440241611934624</v>
      </c>
      <c r="I442" s="157">
        <v>0</v>
      </c>
      <c r="J442" s="157">
        <v>333.29275098691011</v>
      </c>
      <c r="K442" s="157">
        <v>0</v>
      </c>
      <c r="L442" s="156">
        <v>0</v>
      </c>
      <c r="M442" s="156">
        <v>0</v>
      </c>
      <c r="N442" s="156">
        <v>6.5227423599838543</v>
      </c>
      <c r="O442" s="156">
        <v>0</v>
      </c>
      <c r="P442" s="156">
        <v>5.2977723678414925</v>
      </c>
      <c r="Q442" s="156">
        <v>5.3974268071616294</v>
      </c>
      <c r="R442" s="156">
        <v>0</v>
      </c>
      <c r="S442" s="156">
        <v>0</v>
      </c>
      <c r="T442" s="156">
        <v>0</v>
      </c>
      <c r="U442" s="156">
        <v>0</v>
      </c>
      <c r="V442" s="156">
        <v>0</v>
      </c>
      <c r="W442" s="158">
        <v>878.60575459642087</v>
      </c>
    </row>
    <row r="443" spans="1:23" ht="14.4" hidden="1" customHeight="1" outlineLevel="2">
      <c r="A443" s="363"/>
      <c r="B443" s="365"/>
      <c r="C443" s="151" t="str">
        <f t="shared" si="6"/>
        <v>Exportations</v>
      </c>
      <c r="D443" s="270"/>
      <c r="E443" s="155" t="s">
        <v>204</v>
      </c>
      <c r="F443" s="156">
        <v>0</v>
      </c>
      <c r="G443" s="156">
        <v>0</v>
      </c>
      <c r="H443" s="156">
        <v>-90.591091470529065</v>
      </c>
      <c r="I443" s="157">
        <v>-5.5829874201015279</v>
      </c>
      <c r="J443" s="157">
        <v>0</v>
      </c>
      <c r="K443" s="157">
        <v>0</v>
      </c>
      <c r="L443" s="156">
        <v>0</v>
      </c>
      <c r="M443" s="156">
        <v>0</v>
      </c>
      <c r="N443" s="156">
        <v>-18.21802992421425</v>
      </c>
      <c r="O443" s="156">
        <v>0</v>
      </c>
      <c r="P443" s="156">
        <v>0</v>
      </c>
      <c r="Q443" s="156">
        <v>0</v>
      </c>
      <c r="R443" s="156">
        <v>0</v>
      </c>
      <c r="S443" s="156">
        <v>0</v>
      </c>
      <c r="T443" s="156">
        <v>-8.0713889589063683</v>
      </c>
      <c r="U443" s="156">
        <v>0</v>
      </c>
      <c r="V443" s="156">
        <v>0</v>
      </c>
      <c r="W443" s="158">
        <v>-122.46349777375121</v>
      </c>
    </row>
    <row r="444" spans="1:23" ht="14.4" hidden="1" customHeight="1" outlineLevel="2">
      <c r="A444" s="363"/>
      <c r="B444" s="365"/>
      <c r="C444" s="151" t="str">
        <f t="shared" si="6"/>
        <v>Soutes maritimes internationales</v>
      </c>
      <c r="D444" s="270"/>
      <c r="E444" s="155" t="s">
        <v>205</v>
      </c>
      <c r="F444" s="156">
        <v>0</v>
      </c>
      <c r="G444" s="156">
        <v>0</v>
      </c>
      <c r="H444" s="156">
        <v>-2.0549029725996495</v>
      </c>
      <c r="I444" s="156">
        <v>-4.2592405270043034</v>
      </c>
      <c r="J444" s="156">
        <v>0</v>
      </c>
      <c r="K444" s="156">
        <v>-3.3566828455495399</v>
      </c>
      <c r="L444" s="156">
        <v>0</v>
      </c>
      <c r="M444" s="156">
        <v>0</v>
      </c>
      <c r="N444" s="156">
        <v>0</v>
      </c>
      <c r="O444" s="156">
        <v>0</v>
      </c>
      <c r="P444" s="156">
        <v>-1.2211352532554141</v>
      </c>
      <c r="Q444" s="156">
        <v>-2.2377885636996933</v>
      </c>
      <c r="R444" s="156">
        <v>0</v>
      </c>
      <c r="S444" s="156">
        <v>0</v>
      </c>
      <c r="T444" s="156">
        <v>0</v>
      </c>
      <c r="U444" s="156">
        <v>0</v>
      </c>
      <c r="V444" s="156">
        <v>-1.5091855822008204</v>
      </c>
      <c r="W444" s="158">
        <v>-14.638935744309421</v>
      </c>
    </row>
    <row r="445" spans="1:23" ht="14.4" hidden="1" customHeight="1" outlineLevel="2">
      <c r="A445" s="363"/>
      <c r="B445" s="365"/>
      <c r="C445" s="151" t="str">
        <f t="shared" si="6"/>
        <v>Soutes aériennes internationales</v>
      </c>
      <c r="D445" s="270"/>
      <c r="E445" s="155" t="s">
        <v>206</v>
      </c>
      <c r="F445" s="156">
        <v>0</v>
      </c>
      <c r="G445" s="156">
        <v>0</v>
      </c>
      <c r="H445" s="156">
        <v>-51.283612586633105</v>
      </c>
      <c r="I445" s="156">
        <v>-11.315126814814633</v>
      </c>
      <c r="J445" s="156">
        <v>0</v>
      </c>
      <c r="K445" s="156">
        <v>0</v>
      </c>
      <c r="L445" s="156">
        <v>0</v>
      </c>
      <c r="M445" s="156">
        <v>0</v>
      </c>
      <c r="N445" s="156">
        <v>0</v>
      </c>
      <c r="O445" s="156">
        <v>0</v>
      </c>
      <c r="P445" s="156">
        <v>-19.885032088282419</v>
      </c>
      <c r="Q445" s="156">
        <v>0</v>
      </c>
      <c r="R445" s="156">
        <v>0</v>
      </c>
      <c r="S445" s="156">
        <v>0</v>
      </c>
      <c r="T445" s="156">
        <v>0</v>
      </c>
      <c r="U445" s="156">
        <v>0</v>
      </c>
      <c r="V445" s="156">
        <v>-1.5480986680377837</v>
      </c>
      <c r="W445" s="158">
        <v>-84.031870157767941</v>
      </c>
    </row>
    <row r="446" spans="1:23" ht="14.4" hidden="1" customHeight="1" outlineLevel="2">
      <c r="A446" s="363"/>
      <c r="B446" s="365"/>
      <c r="C446" s="151" t="str">
        <f t="shared" si="6"/>
        <v>Variations de stocks (+ = déstockage, - = stockage)</v>
      </c>
      <c r="D446" s="270"/>
      <c r="E446" s="155" t="s">
        <v>207</v>
      </c>
      <c r="F446" s="156">
        <v>0</v>
      </c>
      <c r="G446" s="156">
        <v>0</v>
      </c>
      <c r="H446" s="156">
        <v>0</v>
      </c>
      <c r="I446" s="157">
        <v>0</v>
      </c>
      <c r="J446" s="157">
        <v>0</v>
      </c>
      <c r="K446" s="157">
        <v>0</v>
      </c>
      <c r="L446" s="156">
        <v>0</v>
      </c>
      <c r="M446" s="156">
        <v>0</v>
      </c>
      <c r="N446" s="156">
        <v>0</v>
      </c>
      <c r="O446" s="156">
        <v>0</v>
      </c>
      <c r="P446" s="156">
        <v>0</v>
      </c>
      <c r="Q446" s="156">
        <v>0</v>
      </c>
      <c r="R446" s="156">
        <v>0</v>
      </c>
      <c r="S446" s="156">
        <v>0</v>
      </c>
      <c r="T446" s="156">
        <v>0</v>
      </c>
      <c r="U446" s="156">
        <v>0</v>
      </c>
      <c r="V446" s="156">
        <v>0</v>
      </c>
      <c r="W446" s="158">
        <v>0</v>
      </c>
    </row>
    <row r="447" spans="1:23" ht="14.4" hidden="1" customHeight="1" outlineLevel="2">
      <c r="A447" s="363"/>
      <c r="B447" s="365"/>
      <c r="C447" s="151" t="str">
        <f t="shared" si="6"/>
        <v>Total approvisionnement / consommation primaire</v>
      </c>
      <c r="D447" s="270"/>
      <c r="E447" s="159" t="s">
        <v>208</v>
      </c>
      <c r="F447" s="160">
        <v>32.304837547387784</v>
      </c>
      <c r="G447" s="160">
        <v>483.34998291520134</v>
      </c>
      <c r="H447" s="160">
        <v>-131.48936541782717</v>
      </c>
      <c r="I447" s="160">
        <v>-21.157354761920466</v>
      </c>
      <c r="J447" s="160">
        <v>333.29275098691011</v>
      </c>
      <c r="K447" s="160">
        <v>-3.3566828455495399</v>
      </c>
      <c r="L447" s="160">
        <v>952.02618181818184</v>
      </c>
      <c r="M447" s="160">
        <v>353.229956637557</v>
      </c>
      <c r="N447" s="160">
        <v>221.06600245835031</v>
      </c>
      <c r="O447" s="160">
        <v>43.763249063352276</v>
      </c>
      <c r="P447" s="160">
        <v>-14.877006423253576</v>
      </c>
      <c r="Q447" s="160">
        <v>3.3291879324210707</v>
      </c>
      <c r="R447" s="160">
        <v>105.63524522251721</v>
      </c>
      <c r="S447" s="160">
        <v>13.957253608213723</v>
      </c>
      <c r="T447" s="160">
        <v>-8.0713889589063683</v>
      </c>
      <c r="U447" s="160">
        <v>0</v>
      </c>
      <c r="V447" s="160">
        <v>-3.0572842502386042</v>
      </c>
      <c r="W447" s="160">
        <v>2359.9455655323968</v>
      </c>
    </row>
    <row r="448" spans="1:23" ht="14.4" hidden="1" customHeight="1" outlineLevel="2">
      <c r="A448" s="363"/>
      <c r="B448" s="365"/>
      <c r="C448" s="151">
        <f t="shared" si="6"/>
        <v>0</v>
      </c>
      <c r="D448" s="270"/>
      <c r="E448" s="161"/>
      <c r="F448" s="162">
        <v>0</v>
      </c>
      <c r="G448" s="162">
        <v>0</v>
      </c>
      <c r="H448" s="162">
        <v>0</v>
      </c>
      <c r="I448" s="162"/>
      <c r="J448" s="162"/>
      <c r="K448" s="162"/>
      <c r="L448" s="162">
        <v>0</v>
      </c>
      <c r="M448" s="162">
        <v>0</v>
      </c>
      <c r="N448" s="162">
        <v>0</v>
      </c>
      <c r="O448" s="162">
        <v>0</v>
      </c>
      <c r="P448" s="162">
        <v>0</v>
      </c>
      <c r="Q448" s="162">
        <v>0</v>
      </c>
      <c r="R448" s="162">
        <v>0</v>
      </c>
      <c r="S448" s="162">
        <v>0</v>
      </c>
      <c r="T448" s="162">
        <v>0</v>
      </c>
      <c r="U448" s="162">
        <v>0</v>
      </c>
      <c r="V448" s="162">
        <v>0</v>
      </c>
      <c r="W448" s="162">
        <v>0</v>
      </c>
    </row>
    <row r="449" spans="1:23" ht="14.4" hidden="1" customHeight="1" outlineLevel="2">
      <c r="A449" s="363"/>
      <c r="B449" s="365"/>
      <c r="C449" s="151" t="str">
        <f t="shared" si="6"/>
        <v>Écart statistique</v>
      </c>
      <c r="D449" s="270"/>
      <c r="E449" s="163" t="s">
        <v>209</v>
      </c>
      <c r="F449" s="156">
        <v>0</v>
      </c>
      <c r="G449" s="156">
        <v>0</v>
      </c>
      <c r="H449" s="156">
        <v>0</v>
      </c>
      <c r="I449" s="156">
        <v>0</v>
      </c>
      <c r="J449" s="156">
        <v>0</v>
      </c>
      <c r="K449" s="156">
        <v>0</v>
      </c>
      <c r="L449" s="156">
        <v>0</v>
      </c>
      <c r="M449" s="156">
        <v>0</v>
      </c>
      <c r="N449" s="156">
        <v>0</v>
      </c>
      <c r="O449" s="156">
        <v>0</v>
      </c>
      <c r="P449" s="156">
        <v>0</v>
      </c>
      <c r="Q449" s="156">
        <v>0</v>
      </c>
      <c r="R449" s="156">
        <v>0</v>
      </c>
      <c r="S449" s="156">
        <v>0</v>
      </c>
      <c r="T449" s="156">
        <v>0</v>
      </c>
      <c r="U449" s="156">
        <v>0</v>
      </c>
      <c r="V449" s="156">
        <v>0</v>
      </c>
      <c r="W449" s="164">
        <v>0</v>
      </c>
    </row>
    <row r="450" spans="1:23" ht="14.4" hidden="1" customHeight="1" outlineLevel="2">
      <c r="A450" s="363"/>
      <c r="B450" s="365"/>
      <c r="C450" s="151" t="str">
        <f t="shared" si="6"/>
        <v>Production d'électricité</v>
      </c>
      <c r="D450" s="270"/>
      <c r="E450" s="163" t="s">
        <v>13</v>
      </c>
      <c r="F450" s="156">
        <v>0.65592916206991536</v>
      </c>
      <c r="G450" s="156">
        <v>0</v>
      </c>
      <c r="H450" s="156">
        <v>6.774811965020513</v>
      </c>
      <c r="I450" s="156">
        <v>0</v>
      </c>
      <c r="J450" s="156">
        <v>45.753191489361697</v>
      </c>
      <c r="K450" s="156">
        <v>0</v>
      </c>
      <c r="L450" s="156">
        <v>952.02618181818184</v>
      </c>
      <c r="M450" s="156">
        <v>353.229956637557</v>
      </c>
      <c r="N450" s="156">
        <v>26.853917475746329</v>
      </c>
      <c r="O450" s="156">
        <v>6.3243051457217891</v>
      </c>
      <c r="P450" s="156">
        <v>4.5986704365365005</v>
      </c>
      <c r="Q450" s="156">
        <v>5.4466636834772562</v>
      </c>
      <c r="R450" s="156">
        <v>0</v>
      </c>
      <c r="S450" s="156">
        <v>7.521473314960482</v>
      </c>
      <c r="T450" s="156">
        <v>-717.45738181563433</v>
      </c>
      <c r="U450" s="156">
        <v>0</v>
      </c>
      <c r="V450" s="156">
        <v>0</v>
      </c>
      <c r="W450" s="164">
        <v>691.72771931299928</v>
      </c>
    </row>
    <row r="451" spans="1:23" ht="14.4" hidden="1" customHeight="1" outlineLevel="2">
      <c r="A451" s="363"/>
      <c r="B451" s="365"/>
      <c r="C451" s="151" t="str">
        <f t="shared" si="6"/>
        <v>Production de chaleur</v>
      </c>
      <c r="D451" s="270"/>
      <c r="E451" s="163" t="s">
        <v>210</v>
      </c>
      <c r="F451" s="156">
        <v>0</v>
      </c>
      <c r="G451" s="156">
        <v>0</v>
      </c>
      <c r="H451" s="156">
        <v>0</v>
      </c>
      <c r="I451" s="156">
        <v>0</v>
      </c>
      <c r="J451" s="156">
        <v>14.378311555583005</v>
      </c>
      <c r="K451" s="156">
        <v>0</v>
      </c>
      <c r="L451" s="156">
        <v>0</v>
      </c>
      <c r="M451" s="156">
        <v>0</v>
      </c>
      <c r="N451" s="156">
        <v>13.872493916420002</v>
      </c>
      <c r="O451" s="156">
        <v>13.331128398746021</v>
      </c>
      <c r="P451" s="156">
        <v>0</v>
      </c>
      <c r="Q451" s="156">
        <v>2.4732302794269563</v>
      </c>
      <c r="R451" s="156">
        <v>0</v>
      </c>
      <c r="S451" s="156">
        <v>2.4299496300398671</v>
      </c>
      <c r="T451" s="156">
        <v>0</v>
      </c>
      <c r="U451" s="156">
        <v>-42.546469388404454</v>
      </c>
      <c r="V451" s="156">
        <v>0</v>
      </c>
      <c r="W451" s="164">
        <v>3.9386443918113971</v>
      </c>
    </row>
    <row r="452" spans="1:23" ht="14.4" hidden="1" customHeight="1" outlineLevel="2">
      <c r="A452" s="363"/>
      <c r="B452" s="365"/>
      <c r="C452" s="151" t="str">
        <f t="shared" si="6"/>
        <v>Production de gaz renouvelable</v>
      </c>
      <c r="D452" s="270"/>
      <c r="E452" s="163" t="s">
        <v>211</v>
      </c>
      <c r="F452" s="156">
        <v>0</v>
      </c>
      <c r="G452" s="156">
        <v>0</v>
      </c>
      <c r="H452" s="156">
        <v>0</v>
      </c>
      <c r="I452" s="156">
        <v>0</v>
      </c>
      <c r="J452" s="156">
        <v>0</v>
      </c>
      <c r="K452" s="156">
        <v>0</v>
      </c>
      <c r="L452" s="156">
        <v>0</v>
      </c>
      <c r="M452" s="156">
        <v>0</v>
      </c>
      <c r="N452" s="156">
        <v>33.90742383717118</v>
      </c>
      <c r="O452" s="156">
        <v>14.840678586535665</v>
      </c>
      <c r="P452" s="156">
        <v>0</v>
      </c>
      <c r="Q452" s="156">
        <v>-24.374051211853423</v>
      </c>
      <c r="R452" s="156">
        <v>0</v>
      </c>
      <c r="S452" s="156">
        <v>0</v>
      </c>
      <c r="T452" s="156">
        <v>0</v>
      </c>
      <c r="U452" s="156">
        <v>0</v>
      </c>
      <c r="V452" s="156">
        <v>0</v>
      </c>
      <c r="W452" s="164">
        <v>24.374051211853423</v>
      </c>
    </row>
    <row r="453" spans="1:23" ht="14.4" hidden="1" customHeight="1" outlineLevel="2">
      <c r="A453" s="363"/>
      <c r="B453" s="365"/>
      <c r="C453" s="151" t="str">
        <f t="shared" si="6"/>
        <v>Production de gaz de synthèse</v>
      </c>
      <c r="D453" s="270"/>
      <c r="E453" s="163" t="s">
        <v>212</v>
      </c>
      <c r="F453" s="156">
        <v>0</v>
      </c>
      <c r="G453" s="156">
        <v>0</v>
      </c>
      <c r="H453" s="156">
        <v>0</v>
      </c>
      <c r="I453" s="156">
        <v>0</v>
      </c>
      <c r="J453" s="156">
        <v>0</v>
      </c>
      <c r="K453" s="156">
        <v>-3.3566828455495399</v>
      </c>
      <c r="L453" s="156">
        <v>0</v>
      </c>
      <c r="M453" s="156">
        <v>0</v>
      </c>
      <c r="N453" s="156">
        <v>0</v>
      </c>
      <c r="O453" s="156">
        <v>0</v>
      </c>
      <c r="P453" s="156">
        <v>0</v>
      </c>
      <c r="Q453" s="156">
        <v>0</v>
      </c>
      <c r="R453" s="156">
        <v>0</v>
      </c>
      <c r="S453" s="156">
        <v>0</v>
      </c>
      <c r="T453" s="156">
        <v>0</v>
      </c>
      <c r="U453" s="156">
        <v>0</v>
      </c>
      <c r="V453" s="156">
        <v>0</v>
      </c>
      <c r="W453" s="164">
        <v>-3.3566828455495399</v>
      </c>
    </row>
    <row r="454" spans="1:23" ht="14.4" hidden="1" customHeight="1" outlineLevel="2">
      <c r="A454" s="363"/>
      <c r="B454" s="365"/>
      <c r="C454" s="151" t="str">
        <f t="shared" si="6"/>
        <v>Raffinage de pétrole</v>
      </c>
      <c r="D454" s="270"/>
      <c r="E454" s="163" t="s">
        <v>213</v>
      </c>
      <c r="F454" s="156">
        <v>0</v>
      </c>
      <c r="G454" s="156">
        <v>500.81434186203364</v>
      </c>
      <c r="H454" s="156">
        <v>-495.81730726529383</v>
      </c>
      <c r="I454" s="156">
        <v>0</v>
      </c>
      <c r="J454" s="156">
        <v>0</v>
      </c>
      <c r="K454" s="156">
        <v>0</v>
      </c>
      <c r="L454" s="156">
        <v>0</v>
      </c>
      <c r="M454" s="156">
        <v>0</v>
      </c>
      <c r="N454" s="156">
        <v>0</v>
      </c>
      <c r="O454" s="156">
        <v>0</v>
      </c>
      <c r="P454" s="156">
        <v>0</v>
      </c>
      <c r="Q454" s="156">
        <v>0</v>
      </c>
      <c r="R454" s="156">
        <v>0</v>
      </c>
      <c r="S454" s="156">
        <v>0</v>
      </c>
      <c r="T454" s="156">
        <v>0</v>
      </c>
      <c r="U454" s="156">
        <v>0</v>
      </c>
      <c r="V454" s="156">
        <v>0</v>
      </c>
      <c r="W454" s="164">
        <v>4.9970345967397929</v>
      </c>
    </row>
    <row r="455" spans="1:23" ht="14.4" hidden="1" customHeight="1" outlineLevel="2">
      <c r="A455" s="363"/>
      <c r="B455" s="365"/>
      <c r="C455" s="151" t="str">
        <f t="shared" ref="C455:C507" si="7">IF(ISBLANK(E455),IF(ISBLANK(F455),"",F455),E455)</f>
        <v>Production de biocarburants</v>
      </c>
      <c r="D455" s="270"/>
      <c r="E455" s="163" t="s">
        <v>214</v>
      </c>
      <c r="F455" s="156">
        <v>0</v>
      </c>
      <c r="G455" s="156">
        <v>0</v>
      </c>
      <c r="H455" s="156">
        <v>0</v>
      </c>
      <c r="I455" s="156">
        <v>0</v>
      </c>
      <c r="J455" s="156">
        <v>0</v>
      </c>
      <c r="K455" s="156">
        <v>0</v>
      </c>
      <c r="L455" s="156">
        <v>0</v>
      </c>
      <c r="M455" s="156">
        <v>0</v>
      </c>
      <c r="N455" s="156">
        <v>61.057088074870599</v>
      </c>
      <c r="O455" s="156">
        <v>7.2727272727272725</v>
      </c>
      <c r="P455" s="156">
        <v>-37.581398441178834</v>
      </c>
      <c r="Q455" s="156">
        <v>0</v>
      </c>
      <c r="R455" s="156">
        <v>0</v>
      </c>
      <c r="S455" s="156">
        <v>0</v>
      </c>
      <c r="T455" s="156">
        <v>0</v>
      </c>
      <c r="U455" s="156">
        <v>0</v>
      </c>
      <c r="V455" s="156">
        <v>0</v>
      </c>
      <c r="W455" s="164">
        <v>30.748416906419038</v>
      </c>
    </row>
    <row r="456" spans="1:23" ht="14.4" hidden="1" customHeight="1" outlineLevel="2">
      <c r="A456" s="363"/>
      <c r="B456" s="365"/>
      <c r="C456" s="151" t="str">
        <f t="shared" si="7"/>
        <v>Production d'e-fuels</v>
      </c>
      <c r="D456" s="270"/>
      <c r="E456" s="163" t="s">
        <v>215</v>
      </c>
      <c r="F456" s="156">
        <v>0</v>
      </c>
      <c r="G456" s="156">
        <v>0</v>
      </c>
      <c r="H456" s="156">
        <v>0</v>
      </c>
      <c r="I456" s="156">
        <v>-21.871617660235188</v>
      </c>
      <c r="J456" s="156">
        <v>0</v>
      </c>
      <c r="K456" s="156">
        <v>0</v>
      </c>
      <c r="L456" s="156">
        <v>0</v>
      </c>
      <c r="M456" s="156">
        <v>0</v>
      </c>
      <c r="N456" s="156">
        <v>0</v>
      </c>
      <c r="O456" s="156">
        <v>0</v>
      </c>
      <c r="P456" s="156">
        <v>0</v>
      </c>
      <c r="Q456" s="156">
        <v>0</v>
      </c>
      <c r="R456" s="156">
        <v>0</v>
      </c>
      <c r="S456" s="156">
        <v>0</v>
      </c>
      <c r="T456" s="156">
        <v>0</v>
      </c>
      <c r="U456" s="156">
        <v>0</v>
      </c>
      <c r="V456" s="156">
        <v>30.46186303653926</v>
      </c>
      <c r="W456" s="164">
        <v>8.5902453763040718</v>
      </c>
    </row>
    <row r="457" spans="1:23" ht="14.4" hidden="1" customHeight="1" outlineLevel="2">
      <c r="A457" s="363"/>
      <c r="B457" s="365"/>
      <c r="C457" s="151" t="str">
        <f t="shared" si="7"/>
        <v>Production d'hydrogène</v>
      </c>
      <c r="D457" s="270"/>
      <c r="E457" s="163" t="s">
        <v>216</v>
      </c>
      <c r="F457" s="156">
        <v>0</v>
      </c>
      <c r="G457" s="156">
        <v>0</v>
      </c>
      <c r="H457" s="156">
        <v>0</v>
      </c>
      <c r="I457" s="156">
        <v>0</v>
      </c>
      <c r="J457" s="156">
        <v>27.664070672105229</v>
      </c>
      <c r="K457" s="156">
        <v>0</v>
      </c>
      <c r="L457" s="156">
        <v>0</v>
      </c>
      <c r="M457" s="156">
        <v>0</v>
      </c>
      <c r="N457" s="156">
        <v>0</v>
      </c>
      <c r="O457" s="156">
        <v>0.59488131679934531</v>
      </c>
      <c r="P457" s="156">
        <v>0</v>
      </c>
      <c r="Q457" s="156">
        <v>2.079995167862037</v>
      </c>
      <c r="R457" s="156">
        <v>0</v>
      </c>
      <c r="S457" s="156">
        <v>0</v>
      </c>
      <c r="T457" s="156">
        <v>29.04545077041643</v>
      </c>
      <c r="U457" s="156">
        <v>0</v>
      </c>
      <c r="V457" s="156">
        <v>-41.641692175954169</v>
      </c>
      <c r="W457" s="164">
        <v>17.742705751228875</v>
      </c>
    </row>
    <row r="458" spans="1:23" ht="14.4" hidden="1" customHeight="1" outlineLevel="2">
      <c r="A458" s="363"/>
      <c r="B458" s="365"/>
      <c r="C458" s="151" t="str">
        <f t="shared" si="7"/>
        <v>Autres transformations, transferts</v>
      </c>
      <c r="D458" s="270"/>
      <c r="E458" s="163" t="s">
        <v>217</v>
      </c>
      <c r="F458" s="156">
        <v>18.942361875</v>
      </c>
      <c r="G458" s="156">
        <v>-17.464358946832331</v>
      </c>
      <c r="H458" s="156">
        <v>22.998335282278511</v>
      </c>
      <c r="I458" s="156">
        <v>0</v>
      </c>
      <c r="J458" s="156">
        <v>0</v>
      </c>
      <c r="K458" s="156">
        <v>0</v>
      </c>
      <c r="L458" s="156">
        <v>0</v>
      </c>
      <c r="M458" s="156">
        <v>0</v>
      </c>
      <c r="N458" s="156">
        <v>0</v>
      </c>
      <c r="O458" s="156">
        <v>0</v>
      </c>
      <c r="P458" s="156">
        <v>0</v>
      </c>
      <c r="Q458" s="156">
        <v>0</v>
      </c>
      <c r="R458" s="156">
        <v>0</v>
      </c>
      <c r="S458" s="156">
        <v>0</v>
      </c>
      <c r="T458" s="156">
        <v>0</v>
      </c>
      <c r="U458" s="156">
        <v>0</v>
      </c>
      <c r="V458" s="156">
        <v>0</v>
      </c>
      <c r="W458" s="164">
        <v>24.47633821044618</v>
      </c>
    </row>
    <row r="459" spans="1:23" ht="14.4" hidden="1" customHeight="1" outlineLevel="2">
      <c r="A459" s="363"/>
      <c r="B459" s="365"/>
      <c r="C459" s="151" t="str">
        <f t="shared" si="7"/>
        <v>Usages internes de la branche énergie</v>
      </c>
      <c r="D459" s="270"/>
      <c r="E459" s="163" t="s">
        <v>218</v>
      </c>
      <c r="F459" s="156">
        <v>7.3664740625000009</v>
      </c>
      <c r="G459" s="156">
        <v>0</v>
      </c>
      <c r="H459" s="156">
        <v>17.130121658392898</v>
      </c>
      <c r="I459" s="156">
        <v>0</v>
      </c>
      <c r="J459" s="156">
        <v>4.5933317592671923</v>
      </c>
      <c r="K459" s="156">
        <v>0</v>
      </c>
      <c r="L459" s="156">
        <v>0</v>
      </c>
      <c r="M459" s="156">
        <v>0</v>
      </c>
      <c r="N459" s="156">
        <v>0</v>
      </c>
      <c r="O459" s="156">
        <v>0</v>
      </c>
      <c r="P459" s="156">
        <v>0</v>
      </c>
      <c r="Q459" s="156">
        <v>0.34536160556070195</v>
      </c>
      <c r="R459" s="156">
        <v>0</v>
      </c>
      <c r="S459" s="156">
        <v>0</v>
      </c>
      <c r="T459" s="156">
        <v>31.458438932081201</v>
      </c>
      <c r="U459" s="156">
        <v>0</v>
      </c>
      <c r="V459" s="156">
        <v>0</v>
      </c>
      <c r="W459" s="164">
        <v>60.89372801780199</v>
      </c>
    </row>
    <row r="460" spans="1:23" ht="14.4" hidden="1" customHeight="1" outlineLevel="2">
      <c r="A460" s="363"/>
      <c r="B460" s="365"/>
      <c r="C460" s="151" t="str">
        <f t="shared" si="7"/>
        <v>Pertes de transport et de distribution</v>
      </c>
      <c r="D460" s="270"/>
      <c r="E460" s="163" t="s">
        <v>219</v>
      </c>
      <c r="F460" s="156">
        <v>0</v>
      </c>
      <c r="G460" s="156">
        <v>0</v>
      </c>
      <c r="H460" s="156">
        <v>0</v>
      </c>
      <c r="I460" s="156">
        <v>0</v>
      </c>
      <c r="J460" s="156">
        <v>3.1170934637021359</v>
      </c>
      <c r="K460" s="156">
        <v>0</v>
      </c>
      <c r="L460" s="156">
        <v>0</v>
      </c>
      <c r="M460" s="156">
        <v>0</v>
      </c>
      <c r="N460" s="156">
        <v>0</v>
      </c>
      <c r="O460" s="156">
        <v>0</v>
      </c>
      <c r="P460" s="156">
        <v>0</v>
      </c>
      <c r="Q460" s="156">
        <v>0.2343667864040121</v>
      </c>
      <c r="R460" s="156">
        <v>0</v>
      </c>
      <c r="S460" s="156">
        <v>0</v>
      </c>
      <c r="T460" s="156">
        <v>54.283428531781119</v>
      </c>
      <c r="U460" s="156">
        <v>3.3017643428666386</v>
      </c>
      <c r="V460" s="156">
        <v>0</v>
      </c>
      <c r="W460" s="164">
        <v>60.936653124753917</v>
      </c>
    </row>
    <row r="461" spans="1:23" ht="14.4" hidden="1" customHeight="1" outlineLevel="2">
      <c r="A461" s="363"/>
      <c r="B461" s="365"/>
      <c r="C461" s="151" t="str">
        <f t="shared" si="7"/>
        <v>Consommation nette de la branche énergie</v>
      </c>
      <c r="D461" s="270"/>
      <c r="E461" s="159" t="s">
        <v>220</v>
      </c>
      <c r="F461" s="160">
        <v>26.964765099569917</v>
      </c>
      <c r="G461" s="160">
        <v>483.34998291520134</v>
      </c>
      <c r="H461" s="160">
        <v>-448.91403835960193</v>
      </c>
      <c r="I461" s="160">
        <v>-21.871617660235188</v>
      </c>
      <c r="J461" s="160">
        <v>95.505998940019253</v>
      </c>
      <c r="K461" s="160">
        <v>-3.3566828455495399</v>
      </c>
      <c r="L461" s="160">
        <v>952.02618181818184</v>
      </c>
      <c r="M461" s="160">
        <v>353.229956637557</v>
      </c>
      <c r="N461" s="160">
        <v>135.6909233042081</v>
      </c>
      <c r="O461" s="160">
        <v>42.363720720530097</v>
      </c>
      <c r="P461" s="160">
        <v>-32.982728004642333</v>
      </c>
      <c r="Q461" s="160">
        <v>-13.79443368912246</v>
      </c>
      <c r="R461" s="160">
        <v>0</v>
      </c>
      <c r="S461" s="160">
        <v>9.9514229450003491</v>
      </c>
      <c r="T461" s="160">
        <v>-602.67006358135552</v>
      </c>
      <c r="U461" s="160">
        <v>-39.244705045537813</v>
      </c>
      <c r="V461" s="160">
        <v>-11.17982913941491</v>
      </c>
      <c r="W461" s="160">
        <v>925.0688540548083</v>
      </c>
    </row>
    <row r="462" spans="1:23" ht="14.4" hidden="1" customHeight="1" outlineLevel="2">
      <c r="A462" s="363"/>
      <c r="B462" s="365"/>
      <c r="C462" s="151">
        <f t="shared" si="7"/>
        <v>0</v>
      </c>
      <c r="D462" s="270"/>
      <c r="E462" s="161"/>
      <c r="F462" s="162">
        <v>0</v>
      </c>
      <c r="G462" s="162">
        <v>0</v>
      </c>
      <c r="H462" s="162">
        <v>0</v>
      </c>
      <c r="I462" s="162"/>
      <c r="J462" s="162"/>
      <c r="K462" s="162"/>
      <c r="L462" s="162">
        <v>0</v>
      </c>
      <c r="M462" s="162">
        <v>0</v>
      </c>
      <c r="N462" s="162">
        <v>0</v>
      </c>
      <c r="O462" s="162">
        <v>0</v>
      </c>
      <c r="P462" s="162">
        <v>0</v>
      </c>
      <c r="Q462" s="162">
        <v>0</v>
      </c>
      <c r="R462" s="162">
        <v>0</v>
      </c>
      <c r="S462" s="162">
        <v>0</v>
      </c>
      <c r="T462" s="162">
        <v>0</v>
      </c>
      <c r="U462" s="162">
        <v>0</v>
      </c>
      <c r="V462" s="162">
        <v>0</v>
      </c>
      <c r="W462" s="162">
        <v>0</v>
      </c>
    </row>
    <row r="463" spans="1:23" ht="14.4" hidden="1" customHeight="1" outlineLevel="2">
      <c r="A463" s="363"/>
      <c r="B463" s="365"/>
      <c r="C463" s="151" t="str">
        <f t="shared" si="7"/>
        <v>Industrie</v>
      </c>
      <c r="D463" s="270"/>
      <c r="E463" s="163" t="s">
        <v>0</v>
      </c>
      <c r="F463" s="156">
        <v>5.3400724478178674</v>
      </c>
      <c r="G463" s="156">
        <v>0</v>
      </c>
      <c r="H463" s="156">
        <v>20.462376423571683</v>
      </c>
      <c r="I463" s="156">
        <v>0</v>
      </c>
      <c r="J463" s="156">
        <v>101.03796947941265</v>
      </c>
      <c r="K463" s="156">
        <v>0</v>
      </c>
      <c r="L463" s="156">
        <v>0</v>
      </c>
      <c r="M463" s="156">
        <v>0</v>
      </c>
      <c r="N463" s="156">
        <v>24.733839502419674</v>
      </c>
      <c r="O463" s="156">
        <v>1.3763291871701704</v>
      </c>
      <c r="P463" s="156">
        <v>1.1721654196194529</v>
      </c>
      <c r="Q463" s="156">
        <v>7.6152156159879603</v>
      </c>
      <c r="R463" s="156">
        <v>9.9322479963302604E-4</v>
      </c>
      <c r="S463" s="156">
        <v>3.7537634069694794E-4</v>
      </c>
      <c r="T463" s="156">
        <v>128.29357551932688</v>
      </c>
      <c r="U463" s="156">
        <v>18.342146324065073</v>
      </c>
      <c r="V463" s="156">
        <v>6.23013720703125</v>
      </c>
      <c r="W463" s="164">
        <v>314.605195727563</v>
      </c>
    </row>
    <row r="464" spans="1:23" ht="14.4" hidden="1" customHeight="1" outlineLevel="2">
      <c r="A464" s="363"/>
      <c r="B464" s="365"/>
      <c r="C464" s="151" t="str">
        <f t="shared" si="7"/>
        <v>Transport</v>
      </c>
      <c r="D464" s="270"/>
      <c r="E464" s="163" t="s">
        <v>1</v>
      </c>
      <c r="F464" s="156">
        <v>0</v>
      </c>
      <c r="G464" s="156">
        <v>0</v>
      </c>
      <c r="H464" s="156">
        <v>155.26822095451172</v>
      </c>
      <c r="I464" s="156">
        <v>0.71426289831472201</v>
      </c>
      <c r="J464" s="156">
        <v>8.0349209647003121</v>
      </c>
      <c r="K464" s="156">
        <v>0</v>
      </c>
      <c r="L464" s="156">
        <v>0</v>
      </c>
      <c r="M464" s="156">
        <v>0</v>
      </c>
      <c r="N464" s="156">
        <v>0</v>
      </c>
      <c r="O464" s="156">
        <v>0</v>
      </c>
      <c r="P464" s="156">
        <v>15.046606491036911</v>
      </c>
      <c r="Q464" s="156">
        <v>0.60412644902552226</v>
      </c>
      <c r="R464" s="156">
        <v>0</v>
      </c>
      <c r="S464" s="156">
        <v>0</v>
      </c>
      <c r="T464" s="156">
        <v>115.5473600049655</v>
      </c>
      <c r="U464" s="156">
        <v>0</v>
      </c>
      <c r="V464" s="156">
        <v>1.3471403833274196</v>
      </c>
      <c r="W464" s="164">
        <v>296.56263814588215</v>
      </c>
    </row>
    <row r="465" spans="1:23" ht="14.4" hidden="1" customHeight="1" outlineLevel="2">
      <c r="A465" s="363"/>
      <c r="B465" s="365"/>
      <c r="C465" s="151" t="str">
        <f t="shared" si="7"/>
        <v>Résidentiel</v>
      </c>
      <c r="D465" s="270"/>
      <c r="E465" s="163" t="s">
        <v>221</v>
      </c>
      <c r="F465" s="156">
        <v>0</v>
      </c>
      <c r="G465" s="156">
        <v>0</v>
      </c>
      <c r="H465" s="156">
        <v>3.3171137359256297</v>
      </c>
      <c r="I465" s="156">
        <v>0</v>
      </c>
      <c r="J465" s="156">
        <v>71.998607692071133</v>
      </c>
      <c r="K465" s="156" t="s">
        <v>227</v>
      </c>
      <c r="L465" s="156">
        <v>0</v>
      </c>
      <c r="M465" s="156">
        <v>0</v>
      </c>
      <c r="N465" s="156">
        <v>58.55575756343373</v>
      </c>
      <c r="O465" s="156">
        <v>0</v>
      </c>
      <c r="P465" s="156">
        <v>0</v>
      </c>
      <c r="Q465" s="156">
        <v>5.4134027442066968</v>
      </c>
      <c r="R465" s="156">
        <v>79.290324794170203</v>
      </c>
      <c r="S465" s="156">
        <v>2.5422769996519925</v>
      </c>
      <c r="T465" s="156">
        <v>174.19682010776333</v>
      </c>
      <c r="U465" s="156">
        <v>12.305368304004968</v>
      </c>
      <c r="V465" s="156">
        <v>0</v>
      </c>
      <c r="W465" s="164">
        <v>407.61967194122769</v>
      </c>
    </row>
    <row r="466" spans="1:23" ht="14.4" hidden="1" customHeight="1" outlineLevel="2">
      <c r="A466" s="363"/>
      <c r="B466" s="365"/>
      <c r="C466" s="151" t="str">
        <f t="shared" si="7"/>
        <v>Tertiaire</v>
      </c>
      <c r="D466" s="270"/>
      <c r="E466" s="163" t="s">
        <v>222</v>
      </c>
      <c r="F466" s="156">
        <v>0</v>
      </c>
      <c r="G466" s="156">
        <v>0</v>
      </c>
      <c r="H466" s="156">
        <v>14.416190984409553</v>
      </c>
      <c r="I466" s="156">
        <v>0</v>
      </c>
      <c r="J466" s="156">
        <v>44.495568155181431</v>
      </c>
      <c r="K466" s="156" t="s">
        <v>227</v>
      </c>
      <c r="L466" s="156">
        <v>0</v>
      </c>
      <c r="M466" s="156">
        <v>0</v>
      </c>
      <c r="N466" s="156">
        <v>0.25118495925289969</v>
      </c>
      <c r="O466" s="156">
        <v>2.3199155652013984E-2</v>
      </c>
      <c r="P466" s="156">
        <v>0</v>
      </c>
      <c r="Q466" s="156">
        <v>3.3455151214378467</v>
      </c>
      <c r="R466" s="156">
        <v>26.343927203547384</v>
      </c>
      <c r="S466" s="156">
        <v>1.3967221497996789</v>
      </c>
      <c r="T466" s="156">
        <v>169.90817408801917</v>
      </c>
      <c r="U466" s="156">
        <v>8.5971904174677753</v>
      </c>
      <c r="V466" s="156">
        <v>0</v>
      </c>
      <c r="W466" s="164">
        <v>268.77767223476781</v>
      </c>
    </row>
    <row r="467" spans="1:23" ht="14.4" hidden="1" customHeight="1" outlineLevel="2">
      <c r="A467" s="363"/>
      <c r="B467" s="365"/>
      <c r="C467" s="151" t="str">
        <f t="shared" si="7"/>
        <v>Agriculture</v>
      </c>
      <c r="D467" s="270"/>
      <c r="E467" s="163" t="s">
        <v>118</v>
      </c>
      <c r="F467" s="156">
        <v>0</v>
      </c>
      <c r="G467" s="156">
        <v>0</v>
      </c>
      <c r="H467" s="156">
        <v>33.531569058935794</v>
      </c>
      <c r="I467" s="156">
        <v>0</v>
      </c>
      <c r="J467" s="156">
        <v>1.9333199191066934</v>
      </c>
      <c r="K467" s="156">
        <v>0</v>
      </c>
      <c r="L467" s="156">
        <v>0</v>
      </c>
      <c r="M467" s="156">
        <v>0</v>
      </c>
      <c r="N467" s="156">
        <v>1.8342971290359018</v>
      </c>
      <c r="O467" s="156">
        <v>0</v>
      </c>
      <c r="P467" s="156">
        <v>1.8869496707323945</v>
      </c>
      <c r="Q467" s="156">
        <v>0.1453616908855058</v>
      </c>
      <c r="R467" s="156">
        <v>0</v>
      </c>
      <c r="S467" s="156">
        <v>6.6456137421005312E-2</v>
      </c>
      <c r="T467" s="156">
        <v>6.4727449023743375</v>
      </c>
      <c r="U467" s="156">
        <v>0</v>
      </c>
      <c r="V467" s="156">
        <v>0</v>
      </c>
      <c r="W467" s="164">
        <v>45.870698508491635</v>
      </c>
    </row>
    <row r="468" spans="1:23" ht="14.4" hidden="1" customHeight="1" outlineLevel="2">
      <c r="A468" s="363"/>
      <c r="B468" s="365"/>
      <c r="C468" s="151" t="str">
        <f t="shared" si="7"/>
        <v>Puits technologiques</v>
      </c>
      <c r="D468" s="270"/>
      <c r="E468" s="163" t="s">
        <v>223</v>
      </c>
      <c r="F468" s="156">
        <v>0</v>
      </c>
      <c r="G468" s="156">
        <v>0</v>
      </c>
      <c r="H468" s="156">
        <v>0</v>
      </c>
      <c r="I468" s="156">
        <v>0</v>
      </c>
      <c r="J468" s="156">
        <v>0</v>
      </c>
      <c r="K468" s="156">
        <v>0</v>
      </c>
      <c r="L468" s="156">
        <v>0</v>
      </c>
      <c r="M468" s="156">
        <v>0</v>
      </c>
      <c r="N468" s="156">
        <v>0</v>
      </c>
      <c r="O468" s="156">
        <v>0</v>
      </c>
      <c r="P468" s="156">
        <v>0</v>
      </c>
      <c r="Q468" s="156">
        <v>0</v>
      </c>
      <c r="R468" s="156">
        <v>0</v>
      </c>
      <c r="S468" s="156">
        <v>0</v>
      </c>
      <c r="T468" s="156">
        <v>0.18</v>
      </c>
      <c r="U468" s="156">
        <v>0</v>
      </c>
      <c r="V468" s="156">
        <v>0</v>
      </c>
      <c r="W468" s="164">
        <v>0.18</v>
      </c>
    </row>
    <row r="469" spans="1:23" ht="14.4" hidden="1" customHeight="1" outlineLevel="2">
      <c r="A469" s="363"/>
      <c r="B469" s="365"/>
      <c r="C469" s="151" t="str">
        <f t="shared" si="7"/>
        <v>Consommation finale énergétique</v>
      </c>
      <c r="D469" s="270"/>
      <c r="E469" s="159" t="s">
        <v>224</v>
      </c>
      <c r="F469" s="160">
        <v>5.3400724478178674</v>
      </c>
      <c r="G469" s="160">
        <v>0</v>
      </c>
      <c r="H469" s="160">
        <v>226.99547115735436</v>
      </c>
      <c r="I469" s="160">
        <v>0.71426289831472201</v>
      </c>
      <c r="J469" s="160">
        <v>227.50038621047224</v>
      </c>
      <c r="K469" s="160">
        <v>0</v>
      </c>
      <c r="L469" s="160">
        <v>0</v>
      </c>
      <c r="M469" s="160">
        <v>0</v>
      </c>
      <c r="N469" s="160">
        <v>85.375079154142199</v>
      </c>
      <c r="O469" s="160">
        <v>1.3995283428221845</v>
      </c>
      <c r="P469" s="160">
        <v>18.10572158138876</v>
      </c>
      <c r="Q469" s="160">
        <v>17.123621621543528</v>
      </c>
      <c r="R469" s="160">
        <v>105.63524522251721</v>
      </c>
      <c r="S469" s="160">
        <v>4.0058306632133736</v>
      </c>
      <c r="T469" s="160">
        <v>594.59867462244904</v>
      </c>
      <c r="U469" s="160">
        <v>39.244705045537813</v>
      </c>
      <c r="V469" s="160">
        <v>7.5772775903586691</v>
      </c>
      <c r="W469" s="160">
        <v>1333.6158765579323</v>
      </c>
    </row>
    <row r="470" spans="1:23" ht="14.4" hidden="1" customHeight="1" outlineLevel="2">
      <c r="A470" s="363"/>
      <c r="B470" s="365"/>
      <c r="C470" s="151" t="str">
        <f t="shared" si="7"/>
        <v>Consommation finale non énergétique</v>
      </c>
      <c r="D470" s="270"/>
      <c r="E470" s="155" t="s">
        <v>225</v>
      </c>
      <c r="F470" s="156">
        <v>0</v>
      </c>
      <c r="G470" s="156">
        <v>0</v>
      </c>
      <c r="H470" s="156">
        <v>90.429201784420329</v>
      </c>
      <c r="I470" s="156">
        <v>0</v>
      </c>
      <c r="J470" s="156">
        <v>10.286365836418653</v>
      </c>
      <c r="K470" s="156">
        <v>0</v>
      </c>
      <c r="L470" s="156">
        <v>0</v>
      </c>
      <c r="M470" s="156">
        <v>0</v>
      </c>
      <c r="N470" s="156">
        <v>0</v>
      </c>
      <c r="O470" s="156">
        <v>0</v>
      </c>
      <c r="P470" s="156">
        <v>0</v>
      </c>
      <c r="Q470" s="156">
        <v>0</v>
      </c>
      <c r="R470" s="156">
        <v>0</v>
      </c>
      <c r="S470" s="156">
        <v>0</v>
      </c>
      <c r="T470" s="156">
        <v>0</v>
      </c>
      <c r="U470" s="156">
        <v>0</v>
      </c>
      <c r="V470" s="156">
        <v>0.54526729881763458</v>
      </c>
      <c r="W470" s="164">
        <v>101.26083491965662</v>
      </c>
    </row>
    <row r="471" spans="1:23" ht="14.4" hidden="1" customHeight="1" outlineLevel="2">
      <c r="A471" s="363"/>
      <c r="B471" s="365"/>
      <c r="C471" s="151" t="str">
        <f t="shared" si="7"/>
        <v>Consommation finale</v>
      </c>
      <c r="D471" s="270"/>
      <c r="E471" s="159" t="s">
        <v>226</v>
      </c>
      <c r="F471" s="160">
        <v>5.3400724478178674</v>
      </c>
      <c r="G471" s="160">
        <v>0</v>
      </c>
      <c r="H471" s="160">
        <v>317.4246729417747</v>
      </c>
      <c r="I471" s="160">
        <v>0.71426289831472201</v>
      </c>
      <c r="J471" s="160">
        <v>237.78675204689091</v>
      </c>
      <c r="K471" s="160">
        <v>0</v>
      </c>
      <c r="L471" s="160">
        <v>0</v>
      </c>
      <c r="M471" s="160">
        <v>0</v>
      </c>
      <c r="N471" s="160">
        <v>85.375079154142199</v>
      </c>
      <c r="O471" s="160">
        <v>1.3995283428221845</v>
      </c>
      <c r="P471" s="160">
        <v>18.10572158138876</v>
      </c>
      <c r="Q471" s="160">
        <v>17.123621621543528</v>
      </c>
      <c r="R471" s="160">
        <v>105.63524522251721</v>
      </c>
      <c r="S471" s="160">
        <v>4.0058306632133736</v>
      </c>
      <c r="T471" s="160">
        <v>594.59867462244904</v>
      </c>
      <c r="U471" s="160">
        <v>39.244705045537813</v>
      </c>
      <c r="V471" s="160">
        <v>8.1225448891763037</v>
      </c>
      <c r="W471" s="160">
        <v>1434.876711477589</v>
      </c>
    </row>
    <row r="472" spans="1:23" outlineLevel="1" collapsed="1">
      <c r="A472" s="363"/>
      <c r="B472" s="365"/>
      <c r="C472" s="151" t="str">
        <f t="shared" si="7"/>
        <v/>
      </c>
      <c r="D472" s="269"/>
      <c r="E472" s="114"/>
      <c r="F472" s="169"/>
      <c r="G472" s="169"/>
      <c r="H472" s="169"/>
      <c r="I472" s="169"/>
      <c r="J472" s="169"/>
      <c r="K472" s="169"/>
      <c r="L472" s="169"/>
      <c r="M472" s="271"/>
      <c r="N472" s="169"/>
      <c r="O472" s="169"/>
      <c r="P472" s="169"/>
      <c r="Q472" s="169"/>
      <c r="R472" s="169"/>
      <c r="S472" s="169"/>
      <c r="T472" s="169"/>
      <c r="U472" s="169"/>
      <c r="V472" s="169"/>
      <c r="W472" s="169"/>
    </row>
    <row r="473" spans="1:23" ht="28.2" outlineLevel="1">
      <c r="A473" s="363"/>
      <c r="B473" s="365"/>
      <c r="C473" s="151">
        <f t="shared" si="7"/>
        <v>2050</v>
      </c>
      <c r="D473" s="269"/>
      <c r="E473" s="654">
        <v>2050</v>
      </c>
      <c r="F473" s="655"/>
      <c r="G473" s="655"/>
      <c r="H473" s="655"/>
      <c r="I473" s="655"/>
      <c r="J473" s="655"/>
      <c r="K473" s="655"/>
      <c r="L473" s="656"/>
      <c r="M473" s="272"/>
      <c r="N473" s="273"/>
      <c r="O473" s="273"/>
      <c r="P473" s="273"/>
      <c r="Q473" s="273"/>
      <c r="R473" s="273"/>
      <c r="S473" s="273"/>
      <c r="T473" s="273"/>
      <c r="U473" s="273"/>
      <c r="V473" s="273"/>
      <c r="W473" s="273"/>
    </row>
    <row r="474" spans="1:23" ht="14.4" hidden="1" customHeight="1" outlineLevel="2">
      <c r="A474" s="363"/>
      <c r="B474" s="365"/>
      <c r="C474" s="151" t="str">
        <f t="shared" si="7"/>
        <v>TWh</v>
      </c>
      <c r="D474" s="269"/>
      <c r="E474" s="662" t="s">
        <v>184</v>
      </c>
      <c r="F474" s="659" t="s">
        <v>185</v>
      </c>
      <c r="G474" s="659" t="s">
        <v>186</v>
      </c>
      <c r="H474" s="659" t="s">
        <v>187</v>
      </c>
      <c r="I474" s="657" t="s">
        <v>188</v>
      </c>
      <c r="J474" s="657" t="s">
        <v>189</v>
      </c>
      <c r="K474" s="657" t="s">
        <v>190</v>
      </c>
      <c r="L474" s="659" t="s">
        <v>191</v>
      </c>
      <c r="M474" s="659" t="s">
        <v>192</v>
      </c>
      <c r="N474" s="659" t="s">
        <v>193</v>
      </c>
      <c r="O474" s="659"/>
      <c r="P474" s="659"/>
      <c r="Q474" s="659"/>
      <c r="R474" s="659"/>
      <c r="S474" s="659"/>
      <c r="T474" s="657" t="s">
        <v>194</v>
      </c>
      <c r="U474" s="657" t="s">
        <v>195</v>
      </c>
      <c r="V474" s="657" t="s">
        <v>196</v>
      </c>
      <c r="W474" s="657" t="s">
        <v>144</v>
      </c>
    </row>
    <row r="475" spans="1:23" ht="36" hidden="1" outlineLevel="2">
      <c r="A475" s="363"/>
      <c r="B475" s="365"/>
      <c r="C475" s="151" t="str">
        <f t="shared" si="7"/>
        <v/>
      </c>
      <c r="D475" s="270"/>
      <c r="E475" s="662"/>
      <c r="F475" s="659"/>
      <c r="G475" s="659"/>
      <c r="H475" s="659"/>
      <c r="I475" s="658"/>
      <c r="J475" s="658"/>
      <c r="K475" s="658"/>
      <c r="L475" s="659"/>
      <c r="M475" s="659"/>
      <c r="N475" s="153" t="s">
        <v>197</v>
      </c>
      <c r="O475" s="153" t="s">
        <v>24</v>
      </c>
      <c r="P475" s="153" t="s">
        <v>198</v>
      </c>
      <c r="Q475" s="153" t="s">
        <v>199</v>
      </c>
      <c r="R475" s="154" t="s">
        <v>200</v>
      </c>
      <c r="S475" s="153" t="s">
        <v>201</v>
      </c>
      <c r="T475" s="658"/>
      <c r="U475" s="658"/>
      <c r="V475" s="658"/>
      <c r="W475" s="658"/>
    </row>
    <row r="476" spans="1:23" ht="14.4" hidden="1" customHeight="1" outlineLevel="2">
      <c r="A476" s="363"/>
      <c r="B476" s="365"/>
      <c r="C476" s="151" t="str">
        <f t="shared" si="7"/>
        <v>Production d'énergie primaire</v>
      </c>
      <c r="D476" s="270"/>
      <c r="E476" s="155" t="s">
        <v>202</v>
      </c>
      <c r="F476" s="156">
        <v>0</v>
      </c>
      <c r="G476" s="156">
        <v>0</v>
      </c>
      <c r="H476" s="156">
        <v>0</v>
      </c>
      <c r="I476" s="156">
        <v>0</v>
      </c>
      <c r="J476" s="156">
        <v>0</v>
      </c>
      <c r="K476" s="156">
        <v>0</v>
      </c>
      <c r="L476" s="157">
        <v>564.79436363636364</v>
      </c>
      <c r="M476" s="157">
        <v>403.30866961847931</v>
      </c>
      <c r="N476" s="165">
        <v>234.9164916281922</v>
      </c>
      <c r="O476" s="157">
        <v>46.231714331606092</v>
      </c>
      <c r="P476" s="156">
        <v>1.1069452015327585</v>
      </c>
      <c r="Q476" s="156">
        <v>0.17050499393026741</v>
      </c>
      <c r="R476" s="157">
        <v>113.49836377014931</v>
      </c>
      <c r="S476" s="157">
        <v>14.6384161950385</v>
      </c>
      <c r="T476" s="156">
        <v>0</v>
      </c>
      <c r="U476" s="156">
        <v>0</v>
      </c>
      <c r="V476" s="156">
        <v>0</v>
      </c>
      <c r="W476" s="158">
        <v>1378.6654693752923</v>
      </c>
    </row>
    <row r="477" spans="1:23" ht="14.4" hidden="1" customHeight="1" outlineLevel="2">
      <c r="A477" s="363"/>
      <c r="B477" s="365"/>
      <c r="C477" s="151" t="str">
        <f t="shared" si="7"/>
        <v>Importations</v>
      </c>
      <c r="D477" s="270"/>
      <c r="E477" s="155" t="s">
        <v>203</v>
      </c>
      <c r="F477" s="156">
        <v>32.232095217999408</v>
      </c>
      <c r="G477" s="156">
        <v>465.48491002754673</v>
      </c>
      <c r="H477" s="156">
        <v>11.954863415401963</v>
      </c>
      <c r="I477" s="157">
        <v>0</v>
      </c>
      <c r="J477" s="157">
        <v>355.73152864200063</v>
      </c>
      <c r="K477" s="157">
        <v>0</v>
      </c>
      <c r="L477" s="156">
        <v>0</v>
      </c>
      <c r="M477" s="156">
        <v>0</v>
      </c>
      <c r="N477" s="156">
        <v>7.4210714795544677</v>
      </c>
      <c r="O477" s="156">
        <v>0</v>
      </c>
      <c r="P477" s="156">
        <v>5.8520116223288925</v>
      </c>
      <c r="Q477" s="156">
        <v>2.2677703593623342</v>
      </c>
      <c r="R477" s="156">
        <v>0</v>
      </c>
      <c r="S477" s="156">
        <v>0</v>
      </c>
      <c r="T477" s="156">
        <v>126.55412874840988</v>
      </c>
      <c r="U477" s="156">
        <v>0</v>
      </c>
      <c r="V477" s="156">
        <v>0</v>
      </c>
      <c r="W477" s="158">
        <v>1007.4983795126043</v>
      </c>
    </row>
    <row r="478" spans="1:23" ht="14.4" hidden="1" customHeight="1" outlineLevel="2">
      <c r="A478" s="363"/>
      <c r="B478" s="365"/>
      <c r="C478" s="151" t="str">
        <f t="shared" si="7"/>
        <v>Exportations</v>
      </c>
      <c r="D478" s="270"/>
      <c r="E478" s="155" t="s">
        <v>204</v>
      </c>
      <c r="F478" s="156">
        <v>0</v>
      </c>
      <c r="G478" s="156">
        <v>0</v>
      </c>
      <c r="H478" s="156">
        <v>-135.81239723122181</v>
      </c>
      <c r="I478" s="157">
        <v>-17.427017238973221</v>
      </c>
      <c r="J478" s="157">
        <v>0</v>
      </c>
      <c r="K478" s="157">
        <v>0</v>
      </c>
      <c r="L478" s="156">
        <v>0</v>
      </c>
      <c r="M478" s="156">
        <v>0</v>
      </c>
      <c r="N478" s="156">
        <v>-16.872432330522685</v>
      </c>
      <c r="O478" s="156">
        <v>0</v>
      </c>
      <c r="P478" s="156">
        <v>0</v>
      </c>
      <c r="Q478" s="156">
        <v>0</v>
      </c>
      <c r="R478" s="156">
        <v>0</v>
      </c>
      <c r="S478" s="156">
        <v>0</v>
      </c>
      <c r="T478" s="156">
        <v>0</v>
      </c>
      <c r="U478" s="156">
        <v>0</v>
      </c>
      <c r="V478" s="156">
        <v>0</v>
      </c>
      <c r="W478" s="158">
        <v>-170.11184680071773</v>
      </c>
    </row>
    <row r="479" spans="1:23" ht="14.4" hidden="1" customHeight="1" outlineLevel="2">
      <c r="A479" s="363"/>
      <c r="B479" s="365"/>
      <c r="C479" s="151" t="str">
        <f t="shared" si="7"/>
        <v>Soutes maritimes internationales</v>
      </c>
      <c r="D479" s="270"/>
      <c r="E479" s="155" t="s">
        <v>205</v>
      </c>
      <c r="F479" s="156">
        <v>0</v>
      </c>
      <c r="G479" s="156">
        <v>0</v>
      </c>
      <c r="H479" s="156">
        <v>0</v>
      </c>
      <c r="I479" s="156">
        <v>-5.0955386277796055</v>
      </c>
      <c r="J479" s="156">
        <v>0</v>
      </c>
      <c r="K479" s="156">
        <v>-3.7040970213655839</v>
      </c>
      <c r="L479" s="156">
        <v>0</v>
      </c>
      <c r="M479" s="156">
        <v>0</v>
      </c>
      <c r="N479" s="156">
        <v>0</v>
      </c>
      <c r="O479" s="156">
        <v>0</v>
      </c>
      <c r="P479" s="156">
        <v>-1.2862740361282325</v>
      </c>
      <c r="Q479" s="156">
        <v>-2.4693980142437226</v>
      </c>
      <c r="R479" s="156">
        <v>0</v>
      </c>
      <c r="S479" s="156">
        <v>0</v>
      </c>
      <c r="T479" s="156">
        <v>0</v>
      </c>
      <c r="U479" s="156">
        <v>0</v>
      </c>
      <c r="V479" s="156">
        <v>-2.0417048192511631</v>
      </c>
      <c r="W479" s="158">
        <v>-14.597012518768306</v>
      </c>
    </row>
    <row r="480" spans="1:23" ht="14.4" hidden="1" customHeight="1" outlineLevel="2">
      <c r="A480" s="363"/>
      <c r="B480" s="365"/>
      <c r="C480" s="151" t="str">
        <f t="shared" si="7"/>
        <v>Soutes aériennes internationales</v>
      </c>
      <c r="D480" s="270"/>
      <c r="E480" s="155" t="s">
        <v>206</v>
      </c>
      <c r="F480" s="156">
        <v>0</v>
      </c>
      <c r="G480" s="156">
        <v>0</v>
      </c>
      <c r="H480" s="156">
        <v>-25.216071759474016</v>
      </c>
      <c r="I480" s="156">
        <v>-26.128326759709125</v>
      </c>
      <c r="J480" s="156">
        <v>0</v>
      </c>
      <c r="K480" s="156">
        <v>0</v>
      </c>
      <c r="L480" s="156">
        <v>0</v>
      </c>
      <c r="M480" s="156">
        <v>0</v>
      </c>
      <c r="N480" s="156">
        <v>0</v>
      </c>
      <c r="O480" s="156">
        <v>0</v>
      </c>
      <c r="P480" s="156">
        <v>-21.646742237510509</v>
      </c>
      <c r="Q480" s="156">
        <v>0</v>
      </c>
      <c r="R480" s="156">
        <v>0</v>
      </c>
      <c r="S480" s="156">
        <v>0</v>
      </c>
      <c r="T480" s="156">
        <v>0</v>
      </c>
      <c r="U480" s="156">
        <v>0</v>
      </c>
      <c r="V480" s="156">
        <v>-3.774961380742992</v>
      </c>
      <c r="W480" s="158">
        <v>-76.766102137436647</v>
      </c>
    </row>
    <row r="481" spans="1:23" ht="14.4" hidden="1" customHeight="1" outlineLevel="2">
      <c r="A481" s="363"/>
      <c r="B481" s="365"/>
      <c r="C481" s="151" t="str">
        <f t="shared" si="7"/>
        <v>Variations de stocks (+ = déstockage, - = stockage)</v>
      </c>
      <c r="D481" s="270"/>
      <c r="E481" s="155" t="s">
        <v>207</v>
      </c>
      <c r="F481" s="156">
        <v>0</v>
      </c>
      <c r="G481" s="156">
        <v>0</v>
      </c>
      <c r="H481" s="156">
        <v>0</v>
      </c>
      <c r="I481" s="157">
        <v>0</v>
      </c>
      <c r="J481" s="157">
        <v>0</v>
      </c>
      <c r="K481" s="157">
        <v>0</v>
      </c>
      <c r="L481" s="156">
        <v>0</v>
      </c>
      <c r="M481" s="156">
        <v>0</v>
      </c>
      <c r="N481" s="156">
        <v>0</v>
      </c>
      <c r="O481" s="156">
        <v>0</v>
      </c>
      <c r="P481" s="156">
        <v>0</v>
      </c>
      <c r="Q481" s="156">
        <v>0</v>
      </c>
      <c r="R481" s="156">
        <v>0</v>
      </c>
      <c r="S481" s="156">
        <v>0</v>
      </c>
      <c r="T481" s="156">
        <v>0</v>
      </c>
      <c r="U481" s="156">
        <v>0</v>
      </c>
      <c r="V481" s="156">
        <v>0</v>
      </c>
      <c r="W481" s="158">
        <v>0</v>
      </c>
    </row>
    <row r="482" spans="1:23" ht="14.4" hidden="1" customHeight="1" outlineLevel="2">
      <c r="A482" s="363"/>
      <c r="B482" s="365"/>
      <c r="C482" s="151" t="str">
        <f t="shared" si="7"/>
        <v>Total approvisionnement / consommation primaire</v>
      </c>
      <c r="D482" s="270"/>
      <c r="E482" s="159" t="s">
        <v>208</v>
      </c>
      <c r="F482" s="160">
        <v>32.232095217999408</v>
      </c>
      <c r="G482" s="160">
        <v>465.48491002754673</v>
      </c>
      <c r="H482" s="160">
        <v>-149.07360557529384</v>
      </c>
      <c r="I482" s="160">
        <v>-48.65088262646195</v>
      </c>
      <c r="J482" s="160">
        <v>355.73152864200063</v>
      </c>
      <c r="K482" s="160">
        <v>-3.7040970213655839</v>
      </c>
      <c r="L482" s="160">
        <v>564.79436363636364</v>
      </c>
      <c r="M482" s="160">
        <v>403.30866961847931</v>
      </c>
      <c r="N482" s="160">
        <v>225.46513077722398</v>
      </c>
      <c r="O482" s="160">
        <v>46.231714331606092</v>
      </c>
      <c r="P482" s="160">
        <v>-15.974059449777091</v>
      </c>
      <c r="Q482" s="160">
        <v>-3.1122660951121039E-2</v>
      </c>
      <c r="R482" s="160">
        <v>113.49836377014931</v>
      </c>
      <c r="S482" s="160">
        <v>14.6384161950385</v>
      </c>
      <c r="T482" s="160">
        <v>126.55412874840988</v>
      </c>
      <c r="U482" s="160">
        <v>0</v>
      </c>
      <c r="V482" s="160">
        <v>-5.8166661999941551</v>
      </c>
      <c r="W482" s="160">
        <v>2124.6888874309739</v>
      </c>
    </row>
    <row r="483" spans="1:23" ht="14.4" hidden="1" customHeight="1" outlineLevel="2">
      <c r="A483" s="363"/>
      <c r="B483" s="365"/>
      <c r="C483" s="151">
        <f t="shared" si="7"/>
        <v>0</v>
      </c>
      <c r="D483" s="270"/>
      <c r="E483" s="161"/>
      <c r="F483" s="162">
        <v>0</v>
      </c>
      <c r="G483" s="162">
        <v>0</v>
      </c>
      <c r="H483" s="162">
        <v>0</v>
      </c>
      <c r="I483" s="162"/>
      <c r="J483" s="162"/>
      <c r="K483" s="162"/>
      <c r="L483" s="162">
        <v>0</v>
      </c>
      <c r="M483" s="162">
        <v>0</v>
      </c>
      <c r="N483" s="162">
        <v>0</v>
      </c>
      <c r="O483" s="162">
        <v>0</v>
      </c>
      <c r="P483" s="162">
        <v>0</v>
      </c>
      <c r="Q483" s="162">
        <v>0</v>
      </c>
      <c r="R483" s="162">
        <v>0</v>
      </c>
      <c r="S483" s="162">
        <v>0</v>
      </c>
      <c r="T483" s="162">
        <v>0</v>
      </c>
      <c r="U483" s="162">
        <v>0</v>
      </c>
      <c r="V483" s="162">
        <v>0</v>
      </c>
      <c r="W483" s="162">
        <v>0</v>
      </c>
    </row>
    <row r="484" spans="1:23" ht="14.4" hidden="1" customHeight="1" outlineLevel="2">
      <c r="A484" s="363"/>
      <c r="B484" s="365"/>
      <c r="C484" s="151" t="str">
        <f t="shared" si="7"/>
        <v>Écart statistique</v>
      </c>
      <c r="D484" s="270"/>
      <c r="E484" s="163" t="s">
        <v>209</v>
      </c>
      <c r="F484" s="156">
        <v>0</v>
      </c>
      <c r="G484" s="156">
        <v>0</v>
      </c>
      <c r="H484" s="156">
        <v>0</v>
      </c>
      <c r="I484" s="156">
        <v>0</v>
      </c>
      <c r="J484" s="156">
        <v>0</v>
      </c>
      <c r="K484" s="156">
        <v>0</v>
      </c>
      <c r="L484" s="156">
        <v>0</v>
      </c>
      <c r="M484" s="156">
        <v>0</v>
      </c>
      <c r="N484" s="156">
        <v>0</v>
      </c>
      <c r="O484" s="156">
        <v>0</v>
      </c>
      <c r="P484" s="156">
        <v>0</v>
      </c>
      <c r="Q484" s="156">
        <v>0</v>
      </c>
      <c r="R484" s="156">
        <v>0</v>
      </c>
      <c r="S484" s="156">
        <v>0</v>
      </c>
      <c r="T484" s="156">
        <v>0</v>
      </c>
      <c r="U484" s="156">
        <v>0</v>
      </c>
      <c r="V484" s="156">
        <v>0</v>
      </c>
      <c r="W484" s="164">
        <v>0</v>
      </c>
    </row>
    <row r="485" spans="1:23" ht="14.4" hidden="1" customHeight="1" outlineLevel="2">
      <c r="A485" s="363"/>
      <c r="B485" s="365"/>
      <c r="C485" s="151" t="str">
        <f t="shared" si="7"/>
        <v>Production d'électricité</v>
      </c>
      <c r="D485" s="270"/>
      <c r="E485" s="163" t="s">
        <v>13</v>
      </c>
      <c r="F485" s="156">
        <v>0.65592916206991536</v>
      </c>
      <c r="G485" s="156">
        <v>0</v>
      </c>
      <c r="H485" s="156">
        <v>6.627301151115967</v>
      </c>
      <c r="I485" s="156">
        <v>0</v>
      </c>
      <c r="J485" s="156">
        <v>44.8</v>
      </c>
      <c r="K485" s="156">
        <v>0</v>
      </c>
      <c r="L485" s="156">
        <v>564.79436363636364</v>
      </c>
      <c r="M485" s="156">
        <v>403.30866961847931</v>
      </c>
      <c r="N485" s="156">
        <v>26.849591207968093</v>
      </c>
      <c r="O485" s="156">
        <v>5.987158836058744</v>
      </c>
      <c r="P485" s="156">
        <v>5.2672210288896189</v>
      </c>
      <c r="Q485" s="156">
        <v>5.3366061941387279</v>
      </c>
      <c r="R485" s="156">
        <v>0</v>
      </c>
      <c r="S485" s="156">
        <v>8.1428924692436393</v>
      </c>
      <c r="T485" s="156">
        <v>-640.40366249925194</v>
      </c>
      <c r="U485" s="156">
        <v>0</v>
      </c>
      <c r="V485" s="156">
        <v>0</v>
      </c>
      <c r="W485" s="164">
        <v>431.36607080507576</v>
      </c>
    </row>
    <row r="486" spans="1:23" ht="14.4" hidden="1" customHeight="1" outlineLevel="2">
      <c r="A486" s="363"/>
      <c r="B486" s="365"/>
      <c r="C486" s="151" t="str">
        <f t="shared" si="7"/>
        <v>Production de chaleur</v>
      </c>
      <c r="D486" s="270"/>
      <c r="E486" s="163" t="s">
        <v>210</v>
      </c>
      <c r="F486" s="156">
        <v>0</v>
      </c>
      <c r="G486" s="156">
        <v>0</v>
      </c>
      <c r="H486" s="156">
        <v>0</v>
      </c>
      <c r="I486" s="156">
        <v>0</v>
      </c>
      <c r="J486" s="156">
        <v>14.071888917445321</v>
      </c>
      <c r="K486" s="156">
        <v>0</v>
      </c>
      <c r="L486" s="156">
        <v>0</v>
      </c>
      <c r="M486" s="156">
        <v>0</v>
      </c>
      <c r="N486" s="156">
        <v>13.457549247644515</v>
      </c>
      <c r="O486" s="156">
        <v>13.03556026525305</v>
      </c>
      <c r="P486" s="156">
        <v>0</v>
      </c>
      <c r="Q486" s="156">
        <v>2.4214365575826644</v>
      </c>
      <c r="R486" s="156">
        <v>0</v>
      </c>
      <c r="S486" s="156">
        <v>2.3717518298129683</v>
      </c>
      <c r="T486" s="156">
        <v>0</v>
      </c>
      <c r="U486" s="156">
        <v>-41.644853888156817</v>
      </c>
      <c r="V486" s="156">
        <v>0</v>
      </c>
      <c r="W486" s="164">
        <v>3.7133329295817052</v>
      </c>
    </row>
    <row r="487" spans="1:23" ht="14.4" hidden="1" customHeight="1" outlineLevel="2">
      <c r="A487" s="363"/>
      <c r="B487" s="365"/>
      <c r="C487" s="151" t="str">
        <f t="shared" si="7"/>
        <v>Production de gaz renouvelable</v>
      </c>
      <c r="D487" s="270"/>
      <c r="E487" s="163" t="s">
        <v>211</v>
      </c>
      <c r="F487" s="156">
        <v>0</v>
      </c>
      <c r="G487" s="156">
        <v>0</v>
      </c>
      <c r="H487" s="156">
        <v>0</v>
      </c>
      <c r="I487" s="156">
        <v>0</v>
      </c>
      <c r="J487" s="156">
        <v>0</v>
      </c>
      <c r="K487" s="156">
        <v>0</v>
      </c>
      <c r="L487" s="156">
        <v>0</v>
      </c>
      <c r="M487" s="156">
        <v>0</v>
      </c>
      <c r="N487" s="156">
        <v>38.027578010001058</v>
      </c>
      <c r="O487" s="156">
        <v>17.40631797845171</v>
      </c>
      <c r="P487" s="156">
        <v>0</v>
      </c>
      <c r="Q487" s="156">
        <v>-27.716947994226384</v>
      </c>
      <c r="R487" s="156">
        <v>0</v>
      </c>
      <c r="S487" s="156">
        <v>0</v>
      </c>
      <c r="T487" s="156">
        <v>0</v>
      </c>
      <c r="U487" s="156">
        <v>0</v>
      </c>
      <c r="V487" s="156">
        <v>0</v>
      </c>
      <c r="W487" s="164">
        <v>27.716947994226384</v>
      </c>
    </row>
    <row r="488" spans="1:23" ht="14.4" hidden="1" customHeight="1" outlineLevel="2">
      <c r="A488" s="363"/>
      <c r="B488" s="365"/>
      <c r="C488" s="151" t="str">
        <f t="shared" si="7"/>
        <v>Production de gaz de synthèse</v>
      </c>
      <c r="D488" s="270"/>
      <c r="E488" s="163" t="s">
        <v>212</v>
      </c>
      <c r="F488" s="156">
        <v>0</v>
      </c>
      <c r="G488" s="156">
        <v>0</v>
      </c>
      <c r="H488" s="156">
        <v>0</v>
      </c>
      <c r="I488" s="156">
        <v>0</v>
      </c>
      <c r="J488" s="156">
        <v>0</v>
      </c>
      <c r="K488" s="156">
        <v>-3.7040970213655839</v>
      </c>
      <c r="L488" s="156">
        <v>0</v>
      </c>
      <c r="M488" s="156">
        <v>0</v>
      </c>
      <c r="N488" s="156">
        <v>0</v>
      </c>
      <c r="O488" s="156">
        <v>0</v>
      </c>
      <c r="P488" s="156">
        <v>0</v>
      </c>
      <c r="Q488" s="156">
        <v>0</v>
      </c>
      <c r="R488" s="156">
        <v>0</v>
      </c>
      <c r="S488" s="156">
        <v>0</v>
      </c>
      <c r="T488" s="156">
        <v>0</v>
      </c>
      <c r="U488" s="156">
        <v>0</v>
      </c>
      <c r="V488" s="156">
        <v>0</v>
      </c>
      <c r="W488" s="164">
        <v>-3.7040970213655839</v>
      </c>
    </row>
    <row r="489" spans="1:23" ht="14.4" hidden="1" customHeight="1" outlineLevel="2">
      <c r="A489" s="363"/>
      <c r="B489" s="365"/>
      <c r="C489" s="151" t="str">
        <f t="shared" si="7"/>
        <v>Raffinage de pétrole</v>
      </c>
      <c r="D489" s="270"/>
      <c r="E489" s="163" t="s">
        <v>213</v>
      </c>
      <c r="F489" s="156">
        <v>0</v>
      </c>
      <c r="G489" s="156">
        <v>482.2914540584847</v>
      </c>
      <c r="H489" s="156">
        <v>-477.47804942853088</v>
      </c>
      <c r="I489" s="156">
        <v>0</v>
      </c>
      <c r="J489" s="156">
        <v>0</v>
      </c>
      <c r="K489" s="156">
        <v>0</v>
      </c>
      <c r="L489" s="156">
        <v>0</v>
      </c>
      <c r="M489" s="156">
        <v>0</v>
      </c>
      <c r="N489" s="156">
        <v>0</v>
      </c>
      <c r="O489" s="156">
        <v>0</v>
      </c>
      <c r="P489" s="156">
        <v>0</v>
      </c>
      <c r="Q489" s="156">
        <v>0</v>
      </c>
      <c r="R489" s="156">
        <v>0</v>
      </c>
      <c r="S489" s="156">
        <v>0</v>
      </c>
      <c r="T489" s="156">
        <v>0</v>
      </c>
      <c r="U489" s="156">
        <v>0</v>
      </c>
      <c r="V489" s="156">
        <v>0</v>
      </c>
      <c r="W489" s="164">
        <v>4.8134046299538182</v>
      </c>
    </row>
    <row r="490" spans="1:23" ht="14.4" hidden="1" customHeight="1" outlineLevel="2">
      <c r="A490" s="363"/>
      <c r="B490" s="365"/>
      <c r="C490" s="151" t="str">
        <f t="shared" si="7"/>
        <v>Production de biocarburants</v>
      </c>
      <c r="D490" s="270"/>
      <c r="E490" s="163" t="s">
        <v>214</v>
      </c>
      <c r="F490" s="156">
        <v>0</v>
      </c>
      <c r="G490" s="156">
        <v>0</v>
      </c>
      <c r="H490" s="156">
        <v>0</v>
      </c>
      <c r="I490" s="156">
        <v>0</v>
      </c>
      <c r="J490" s="156">
        <v>0</v>
      </c>
      <c r="K490" s="156">
        <v>0</v>
      </c>
      <c r="L490" s="156">
        <v>0</v>
      </c>
      <c r="M490" s="156">
        <v>0</v>
      </c>
      <c r="N490" s="156">
        <v>59.930238894390996</v>
      </c>
      <c r="O490" s="156">
        <v>7.2727272727272725</v>
      </c>
      <c r="P490" s="156">
        <v>-36.961631391915049</v>
      </c>
      <c r="Q490" s="156">
        <v>0</v>
      </c>
      <c r="R490" s="156">
        <v>0</v>
      </c>
      <c r="S490" s="156">
        <v>0</v>
      </c>
      <c r="T490" s="156">
        <v>0</v>
      </c>
      <c r="U490" s="156">
        <v>0</v>
      </c>
      <c r="V490" s="156">
        <v>0</v>
      </c>
      <c r="W490" s="164">
        <v>30.241334775203214</v>
      </c>
    </row>
    <row r="491" spans="1:23" ht="14.4" hidden="1" customHeight="1" outlineLevel="2">
      <c r="A491" s="363"/>
      <c r="B491" s="365"/>
      <c r="C491" s="151" t="str">
        <f t="shared" si="7"/>
        <v>Production d'e-fuels</v>
      </c>
      <c r="D491" s="270"/>
      <c r="E491" s="163" t="s">
        <v>215</v>
      </c>
      <c r="F491" s="156">
        <v>0</v>
      </c>
      <c r="G491" s="156">
        <v>0</v>
      </c>
      <c r="H491" s="156">
        <v>0</v>
      </c>
      <c r="I491" s="156">
        <v>-50.050124148339613</v>
      </c>
      <c r="J491" s="156">
        <v>0</v>
      </c>
      <c r="K491" s="156">
        <v>0</v>
      </c>
      <c r="L491" s="156">
        <v>0</v>
      </c>
      <c r="M491" s="156">
        <v>0</v>
      </c>
      <c r="N491" s="156">
        <v>0</v>
      </c>
      <c r="O491" s="156">
        <v>0</v>
      </c>
      <c r="P491" s="156">
        <v>0</v>
      </c>
      <c r="Q491" s="156">
        <v>0</v>
      </c>
      <c r="R491" s="156">
        <v>0</v>
      </c>
      <c r="S491" s="156">
        <v>0</v>
      </c>
      <c r="T491" s="156">
        <v>0</v>
      </c>
      <c r="U491" s="156">
        <v>0</v>
      </c>
      <c r="V491" s="156">
        <v>69.707693799915901</v>
      </c>
      <c r="W491" s="164">
        <v>19.657569651576289</v>
      </c>
    </row>
    <row r="492" spans="1:23" ht="14.4" hidden="1" customHeight="1" outlineLevel="2">
      <c r="A492" s="363"/>
      <c r="B492" s="365"/>
      <c r="C492" s="151" t="str">
        <f t="shared" si="7"/>
        <v>Production d'hydrogène</v>
      </c>
      <c r="D492" s="270"/>
      <c r="E492" s="163" t="s">
        <v>216</v>
      </c>
      <c r="F492" s="156">
        <v>0</v>
      </c>
      <c r="G492" s="156">
        <v>0</v>
      </c>
      <c r="H492" s="156">
        <v>0</v>
      </c>
      <c r="I492" s="156">
        <v>0</v>
      </c>
      <c r="J492" s="156">
        <v>57.427812710392416</v>
      </c>
      <c r="K492" s="156">
        <v>0</v>
      </c>
      <c r="L492" s="156">
        <v>0</v>
      </c>
      <c r="M492" s="156">
        <v>0</v>
      </c>
      <c r="N492" s="156">
        <v>0</v>
      </c>
      <c r="O492" s="156">
        <v>1.2282828651372963</v>
      </c>
      <c r="P492" s="156">
        <v>0</v>
      </c>
      <c r="Q492" s="156">
        <v>3.9863305464724057</v>
      </c>
      <c r="R492" s="156">
        <v>0</v>
      </c>
      <c r="S492" s="156">
        <v>0</v>
      </c>
      <c r="T492" s="156">
        <v>58.514030936401745</v>
      </c>
      <c r="U492" s="156">
        <v>0</v>
      </c>
      <c r="V492" s="156">
        <v>-85.979800559610737</v>
      </c>
      <c r="W492" s="164">
        <v>35.176656498793136</v>
      </c>
    </row>
    <row r="493" spans="1:23" ht="14.4" hidden="1" customHeight="1" outlineLevel="2">
      <c r="A493" s="363"/>
      <c r="B493" s="365"/>
      <c r="C493" s="151" t="str">
        <f t="shared" si="7"/>
        <v>Autres transformations, transferts</v>
      </c>
      <c r="D493" s="270"/>
      <c r="E493" s="163" t="s">
        <v>217</v>
      </c>
      <c r="F493" s="156">
        <v>19.102584375000003</v>
      </c>
      <c r="G493" s="156">
        <v>-16.806544030937989</v>
      </c>
      <c r="H493" s="156">
        <v>22.138164349027672</v>
      </c>
      <c r="I493" s="156">
        <v>0</v>
      </c>
      <c r="J493" s="156">
        <v>0</v>
      </c>
      <c r="K493" s="156">
        <v>0</v>
      </c>
      <c r="L493" s="156">
        <v>0</v>
      </c>
      <c r="M493" s="156">
        <v>0</v>
      </c>
      <c r="N493" s="156">
        <v>0</v>
      </c>
      <c r="O493" s="156">
        <v>0</v>
      </c>
      <c r="P493" s="156">
        <v>0</v>
      </c>
      <c r="Q493" s="156">
        <v>0</v>
      </c>
      <c r="R493" s="156">
        <v>0</v>
      </c>
      <c r="S493" s="156">
        <v>0</v>
      </c>
      <c r="T493" s="156">
        <v>0</v>
      </c>
      <c r="U493" s="156">
        <v>0</v>
      </c>
      <c r="V493" s="156">
        <v>0</v>
      </c>
      <c r="W493" s="164">
        <v>24.434204693089686</v>
      </c>
    </row>
    <row r="494" spans="1:23" ht="14.4" hidden="1" customHeight="1" outlineLevel="2">
      <c r="A494" s="363"/>
      <c r="B494" s="365"/>
      <c r="C494" s="151" t="str">
        <f t="shared" si="7"/>
        <v>Usages internes de la branche énergie</v>
      </c>
      <c r="D494" s="270"/>
      <c r="E494" s="163" t="s">
        <v>218</v>
      </c>
      <c r="F494" s="156">
        <v>7.4287828125000015</v>
      </c>
      <c r="G494" s="156">
        <v>0</v>
      </c>
      <c r="H494" s="156">
        <v>16.48559997166473</v>
      </c>
      <c r="I494" s="156">
        <v>0</v>
      </c>
      <c r="J494" s="156">
        <v>4.4492607321836477</v>
      </c>
      <c r="K494" s="156">
        <v>0</v>
      </c>
      <c r="L494" s="156">
        <v>0</v>
      </c>
      <c r="M494" s="156">
        <v>0</v>
      </c>
      <c r="N494" s="156">
        <v>0</v>
      </c>
      <c r="O494" s="156">
        <v>0</v>
      </c>
      <c r="P494" s="156">
        <v>0</v>
      </c>
      <c r="Q494" s="156">
        <v>0.30884380109281478</v>
      </c>
      <c r="R494" s="156">
        <v>0</v>
      </c>
      <c r="S494" s="156">
        <v>0</v>
      </c>
      <c r="T494" s="156">
        <v>22.171723014467066</v>
      </c>
      <c r="U494" s="156">
        <v>0</v>
      </c>
      <c r="V494" s="156">
        <v>0</v>
      </c>
      <c r="W494" s="164">
        <v>50.844210331908251</v>
      </c>
    </row>
    <row r="495" spans="1:23" ht="14.4" hidden="1" customHeight="1" outlineLevel="2">
      <c r="A495" s="363"/>
      <c r="B495" s="365"/>
      <c r="C495" s="151" t="str">
        <f t="shared" si="7"/>
        <v>Pertes de transport et de distribution</v>
      </c>
      <c r="D495" s="270"/>
      <c r="E495" s="163" t="s">
        <v>219</v>
      </c>
      <c r="F495" s="156">
        <v>0</v>
      </c>
      <c r="G495" s="156">
        <v>0</v>
      </c>
      <c r="H495" s="156">
        <v>0</v>
      </c>
      <c r="I495" s="156">
        <v>0</v>
      </c>
      <c r="J495" s="156">
        <v>3.4010417645126485</v>
      </c>
      <c r="K495" s="156">
        <v>0</v>
      </c>
      <c r="L495" s="156">
        <v>0</v>
      </c>
      <c r="M495" s="156">
        <v>0</v>
      </c>
      <c r="N495" s="156">
        <v>0</v>
      </c>
      <c r="O495" s="156">
        <v>0</v>
      </c>
      <c r="P495" s="156">
        <v>0</v>
      </c>
      <c r="Q495" s="156">
        <v>0.23608206609010754</v>
      </c>
      <c r="R495" s="156">
        <v>0</v>
      </c>
      <c r="S495" s="156">
        <v>0</v>
      </c>
      <c r="T495" s="156">
        <v>58.676944550840062</v>
      </c>
      <c r="U495" s="156">
        <v>3.2320410237374189</v>
      </c>
      <c r="V495" s="156">
        <v>0</v>
      </c>
      <c r="W495" s="164">
        <v>65.546109405180246</v>
      </c>
    </row>
    <row r="496" spans="1:23" ht="14.4" hidden="1" customHeight="1" outlineLevel="2">
      <c r="A496" s="363"/>
      <c r="B496" s="365"/>
      <c r="C496" s="151" t="str">
        <f t="shared" si="7"/>
        <v>Consommation nette de la branche énergie</v>
      </c>
      <c r="D496" s="270"/>
      <c r="E496" s="159" t="s">
        <v>220</v>
      </c>
      <c r="F496" s="160">
        <v>27.18729634956992</v>
      </c>
      <c r="G496" s="160">
        <v>465.48491002754673</v>
      </c>
      <c r="H496" s="160">
        <v>-432.22698395672256</v>
      </c>
      <c r="I496" s="160">
        <v>-50.050124148339613</v>
      </c>
      <c r="J496" s="160">
        <v>124.15000412453404</v>
      </c>
      <c r="K496" s="160">
        <v>-3.7040970213655839</v>
      </c>
      <c r="L496" s="160">
        <v>564.79436363636364</v>
      </c>
      <c r="M496" s="160">
        <v>403.30866961847931</v>
      </c>
      <c r="N496" s="160">
        <v>138.26495736000464</v>
      </c>
      <c r="O496" s="160">
        <v>44.930047217628072</v>
      </c>
      <c r="P496" s="160">
        <v>-31.69441036302543</v>
      </c>
      <c r="Q496" s="160">
        <v>-15.427648828849666</v>
      </c>
      <c r="R496" s="160">
        <v>0</v>
      </c>
      <c r="S496" s="160">
        <v>10.514644299056606</v>
      </c>
      <c r="T496" s="160">
        <v>-501.04096399754314</v>
      </c>
      <c r="U496" s="160">
        <v>-38.412812864419401</v>
      </c>
      <c r="V496" s="160">
        <v>-16.272106759694836</v>
      </c>
      <c r="W496" s="160">
        <v>689.80574469322301</v>
      </c>
    </row>
    <row r="497" spans="1:23" ht="14.4" hidden="1" customHeight="1" outlineLevel="2">
      <c r="A497" s="363"/>
      <c r="B497" s="365"/>
      <c r="C497" s="151">
        <f t="shared" si="7"/>
        <v>0</v>
      </c>
      <c r="D497" s="270"/>
      <c r="E497" s="161"/>
      <c r="F497" s="162">
        <v>0</v>
      </c>
      <c r="G497" s="162">
        <v>0</v>
      </c>
      <c r="H497" s="162">
        <v>0</v>
      </c>
      <c r="I497" s="162"/>
      <c r="J497" s="162"/>
      <c r="K497" s="162"/>
      <c r="L497" s="162">
        <v>0</v>
      </c>
      <c r="M497" s="162">
        <v>0</v>
      </c>
      <c r="N497" s="162">
        <v>0</v>
      </c>
      <c r="O497" s="162">
        <v>0</v>
      </c>
      <c r="P497" s="162">
        <v>0</v>
      </c>
      <c r="Q497" s="162">
        <v>0</v>
      </c>
      <c r="R497" s="162">
        <v>0</v>
      </c>
      <c r="S497" s="162">
        <v>0</v>
      </c>
      <c r="T497" s="162">
        <v>0</v>
      </c>
      <c r="U497" s="162">
        <v>0</v>
      </c>
      <c r="V497" s="162">
        <v>0</v>
      </c>
      <c r="W497" s="162">
        <v>0</v>
      </c>
    </row>
    <row r="498" spans="1:23" ht="14.4" hidden="1" customHeight="1" outlineLevel="2">
      <c r="A498" s="363"/>
      <c r="B498" s="365"/>
      <c r="C498" s="151" t="str">
        <f t="shared" si="7"/>
        <v>Industrie</v>
      </c>
      <c r="D498" s="270"/>
      <c r="E498" s="163" t="s">
        <v>0</v>
      </c>
      <c r="F498" s="156">
        <v>5.0447988684294867</v>
      </c>
      <c r="G498" s="156">
        <v>0</v>
      </c>
      <c r="H498" s="156">
        <v>19.347648974917512</v>
      </c>
      <c r="I498" s="156">
        <v>0</v>
      </c>
      <c r="J498" s="156">
        <v>102.18643461256113</v>
      </c>
      <c r="K498" s="156">
        <v>0</v>
      </c>
      <c r="L498" s="156">
        <v>0</v>
      </c>
      <c r="M498" s="156">
        <v>0</v>
      </c>
      <c r="N498" s="156">
        <v>26.133249631457719</v>
      </c>
      <c r="O498" s="156">
        <v>1.2786014393612386</v>
      </c>
      <c r="P498" s="156">
        <v>1.2087757382174462</v>
      </c>
      <c r="Q498" s="156">
        <v>7.1114288698365264</v>
      </c>
      <c r="R498" s="156">
        <v>9.7447061538696292E-4</v>
      </c>
      <c r="S498" s="156">
        <v>3.7093504340600868E-4</v>
      </c>
      <c r="T498" s="156">
        <v>134.21247811000825</v>
      </c>
      <c r="U498" s="156">
        <v>18.188621561312811</v>
      </c>
      <c r="V498" s="156">
        <v>7.2324663085937502</v>
      </c>
      <c r="W498" s="164">
        <v>321.94584952035467</v>
      </c>
    </row>
    <row r="499" spans="1:23" ht="14.4" hidden="1" customHeight="1" outlineLevel="2">
      <c r="A499" s="363"/>
      <c r="B499" s="365"/>
      <c r="C499" s="151" t="str">
        <f t="shared" si="7"/>
        <v>Transport</v>
      </c>
      <c r="D499" s="270"/>
      <c r="E499" s="163" t="s">
        <v>1</v>
      </c>
      <c r="F499" s="156">
        <v>0</v>
      </c>
      <c r="G499" s="156">
        <v>0</v>
      </c>
      <c r="H499" s="156">
        <v>129.0044178258587</v>
      </c>
      <c r="I499" s="156">
        <v>1.3992415218776639</v>
      </c>
      <c r="J499" s="156">
        <v>8.2298513810916738</v>
      </c>
      <c r="K499" s="156">
        <v>0</v>
      </c>
      <c r="L499" s="156">
        <v>0</v>
      </c>
      <c r="M499" s="156">
        <v>0</v>
      </c>
      <c r="N499" s="156">
        <v>0</v>
      </c>
      <c r="O499" s="156">
        <v>0</v>
      </c>
      <c r="P499" s="156">
        <v>12.586521755418385</v>
      </c>
      <c r="Q499" s="156">
        <v>0.57127211371985542</v>
      </c>
      <c r="R499" s="156">
        <v>0</v>
      </c>
      <c r="S499" s="156">
        <v>0</v>
      </c>
      <c r="T499" s="156">
        <v>128.42367276227387</v>
      </c>
      <c r="U499" s="156">
        <v>0</v>
      </c>
      <c r="V499" s="156">
        <v>2.0921186311995577</v>
      </c>
      <c r="W499" s="164">
        <v>282.30709599143967</v>
      </c>
    </row>
    <row r="500" spans="1:23" ht="14.4" hidden="1" customHeight="1" outlineLevel="2">
      <c r="A500" s="363"/>
      <c r="B500" s="365"/>
      <c r="C500" s="151" t="str">
        <f t="shared" si="7"/>
        <v>Résidentiel</v>
      </c>
      <c r="D500" s="270"/>
      <c r="E500" s="163" t="s">
        <v>221</v>
      </c>
      <c r="F500" s="156">
        <v>0</v>
      </c>
      <c r="G500" s="156">
        <v>0</v>
      </c>
      <c r="H500" s="156">
        <v>1.7842354590861427</v>
      </c>
      <c r="I500" s="156">
        <v>0</v>
      </c>
      <c r="J500" s="156">
        <v>66.900329788539182</v>
      </c>
      <c r="K500" s="156" t="s">
        <v>227</v>
      </c>
      <c r="L500" s="156">
        <v>0</v>
      </c>
      <c r="M500" s="156">
        <v>0</v>
      </c>
      <c r="N500" s="156">
        <v>58.681979811046453</v>
      </c>
      <c r="O500" s="156">
        <v>0</v>
      </c>
      <c r="P500" s="156">
        <v>0</v>
      </c>
      <c r="Q500" s="156">
        <v>4.6438618435640091</v>
      </c>
      <c r="R500" s="156">
        <v>84.941076914544482</v>
      </c>
      <c r="S500" s="156">
        <v>2.6503800718757144</v>
      </c>
      <c r="T500" s="156">
        <v>176.2297092107458</v>
      </c>
      <c r="U500" s="156">
        <v>12.080206519208174</v>
      </c>
      <c r="V500" s="156">
        <v>0</v>
      </c>
      <c r="W500" s="164">
        <v>407.91177961860996</v>
      </c>
    </row>
    <row r="501" spans="1:23" ht="14.4" hidden="1" customHeight="1" outlineLevel="2">
      <c r="A501" s="363"/>
      <c r="B501" s="365"/>
      <c r="C501" s="151" t="str">
        <f t="shared" si="7"/>
        <v>Tertiaire</v>
      </c>
      <c r="D501" s="270"/>
      <c r="E501" s="163" t="s">
        <v>222</v>
      </c>
      <c r="F501" s="156">
        <v>0</v>
      </c>
      <c r="G501" s="156">
        <v>0</v>
      </c>
      <c r="H501" s="156">
        <v>12.929071215966573</v>
      </c>
      <c r="I501" s="156">
        <v>0</v>
      </c>
      <c r="J501" s="156">
        <v>42.374714148482042</v>
      </c>
      <c r="K501" s="156" t="s">
        <v>227</v>
      </c>
      <c r="L501" s="156">
        <v>0</v>
      </c>
      <c r="M501" s="156">
        <v>0</v>
      </c>
      <c r="N501" s="156">
        <v>0.25394555941252195</v>
      </c>
      <c r="O501" s="156">
        <v>2.3065674616778088E-2</v>
      </c>
      <c r="P501" s="156">
        <v>0</v>
      </c>
      <c r="Q501" s="156">
        <v>2.9414252334489817</v>
      </c>
      <c r="R501" s="156">
        <v>28.55631238498944</v>
      </c>
      <c r="S501" s="156">
        <v>1.4125011352686776</v>
      </c>
      <c r="T501" s="156">
        <v>182.28945809249507</v>
      </c>
      <c r="U501" s="156">
        <v>8.1439847838984178</v>
      </c>
      <c r="V501" s="156">
        <v>0</v>
      </c>
      <c r="W501" s="164">
        <v>278.92447822857849</v>
      </c>
    </row>
    <row r="502" spans="1:23" ht="14.4" hidden="1" customHeight="1" outlineLevel="2">
      <c r="A502" s="363"/>
      <c r="B502" s="365"/>
      <c r="C502" s="151" t="str">
        <f t="shared" si="7"/>
        <v>Agriculture</v>
      </c>
      <c r="D502" s="270"/>
      <c r="E502" s="163" t="s">
        <v>118</v>
      </c>
      <c r="F502" s="156">
        <v>0</v>
      </c>
      <c r="G502" s="156">
        <v>0</v>
      </c>
      <c r="H502" s="156">
        <v>32.621154486260309</v>
      </c>
      <c r="I502" s="156">
        <v>0</v>
      </c>
      <c r="J502" s="156">
        <v>1.8517436694705698</v>
      </c>
      <c r="K502" s="156">
        <v>0</v>
      </c>
      <c r="L502" s="156">
        <v>0</v>
      </c>
      <c r="M502" s="156">
        <v>0</v>
      </c>
      <c r="N502" s="156">
        <v>2.1309984153026171</v>
      </c>
      <c r="O502" s="156">
        <v>0</v>
      </c>
      <c r="P502" s="156">
        <v>1.9250534196125115</v>
      </c>
      <c r="Q502" s="156">
        <v>0.12853810732916202</v>
      </c>
      <c r="R502" s="156">
        <v>0</v>
      </c>
      <c r="S502" s="156">
        <v>6.051975379409523E-2</v>
      </c>
      <c r="T502" s="156">
        <v>6.1997805704300744</v>
      </c>
      <c r="U502" s="156">
        <v>0</v>
      </c>
      <c r="V502" s="156">
        <v>0</v>
      </c>
      <c r="W502" s="164">
        <v>44.917788422199351</v>
      </c>
    </row>
    <row r="503" spans="1:23" ht="14.4" hidden="1" customHeight="1" outlineLevel="2">
      <c r="A503" s="363"/>
      <c r="B503" s="365"/>
      <c r="C503" s="151" t="str">
        <f t="shared" si="7"/>
        <v>Puits technologiques</v>
      </c>
      <c r="D503" s="270"/>
      <c r="E503" s="163" t="s">
        <v>223</v>
      </c>
      <c r="F503" s="156">
        <v>0</v>
      </c>
      <c r="G503" s="156">
        <v>0</v>
      </c>
      <c r="H503" s="156">
        <v>0</v>
      </c>
      <c r="I503" s="156">
        <v>0</v>
      </c>
      <c r="J503" s="156">
        <v>0</v>
      </c>
      <c r="K503" s="156">
        <v>0</v>
      </c>
      <c r="L503" s="156">
        <v>0</v>
      </c>
      <c r="M503" s="156">
        <v>0</v>
      </c>
      <c r="N503" s="156">
        <v>0</v>
      </c>
      <c r="O503" s="156">
        <v>0</v>
      </c>
      <c r="P503" s="156">
        <v>0</v>
      </c>
      <c r="Q503" s="156">
        <v>0</v>
      </c>
      <c r="R503" s="156">
        <v>0</v>
      </c>
      <c r="S503" s="156">
        <v>0</v>
      </c>
      <c r="T503" s="156">
        <v>0.23999399999999996</v>
      </c>
      <c r="U503" s="156">
        <v>0</v>
      </c>
      <c r="V503" s="156">
        <v>0</v>
      </c>
      <c r="W503" s="164">
        <v>0.23999399999999996</v>
      </c>
    </row>
    <row r="504" spans="1:23" ht="14.4" hidden="1" customHeight="1" outlineLevel="2">
      <c r="A504" s="363"/>
      <c r="B504" s="365"/>
      <c r="C504" s="151" t="str">
        <f t="shared" si="7"/>
        <v>Consommation finale énergétique</v>
      </c>
      <c r="D504" s="270"/>
      <c r="E504" s="159" t="s">
        <v>224</v>
      </c>
      <c r="F504" s="160">
        <v>5.0447988684294867</v>
      </c>
      <c r="G504" s="160">
        <v>0</v>
      </c>
      <c r="H504" s="160">
        <v>195.6865279620892</v>
      </c>
      <c r="I504" s="160">
        <v>1.3992415218776639</v>
      </c>
      <c r="J504" s="160">
        <v>221.54307360014462</v>
      </c>
      <c r="K504" s="160">
        <v>0</v>
      </c>
      <c r="L504" s="160">
        <v>0</v>
      </c>
      <c r="M504" s="160">
        <v>0</v>
      </c>
      <c r="N504" s="160">
        <v>87.200173417219318</v>
      </c>
      <c r="O504" s="160">
        <v>1.3016671139780167</v>
      </c>
      <c r="P504" s="160">
        <v>15.720350913248343</v>
      </c>
      <c r="Q504" s="160">
        <v>15.396526167898536</v>
      </c>
      <c r="R504" s="160">
        <v>113.49836377014931</v>
      </c>
      <c r="S504" s="160">
        <v>4.1237718959818928</v>
      </c>
      <c r="T504" s="160">
        <v>627.59509274595302</v>
      </c>
      <c r="U504" s="160">
        <v>38.412812864419408</v>
      </c>
      <c r="V504" s="160">
        <v>9.3245849397933078</v>
      </c>
      <c r="W504" s="160">
        <v>1336.2469857811823</v>
      </c>
    </row>
    <row r="505" spans="1:23" ht="14.4" hidden="1" customHeight="1" outlineLevel="2">
      <c r="A505" s="363"/>
      <c r="B505" s="365"/>
      <c r="C505" s="151" t="str">
        <f t="shared" si="7"/>
        <v>Consommation finale non énergétique</v>
      </c>
      <c r="D505" s="270"/>
      <c r="E505" s="155" t="s">
        <v>225</v>
      </c>
      <c r="F505" s="156">
        <v>0</v>
      </c>
      <c r="G505" s="156">
        <v>0</v>
      </c>
      <c r="H505" s="156">
        <v>87.466850419339437</v>
      </c>
      <c r="I505" s="156">
        <v>0</v>
      </c>
      <c r="J505" s="156">
        <v>10.03845091732196</v>
      </c>
      <c r="K505" s="156">
        <v>0</v>
      </c>
      <c r="L505" s="156">
        <v>0</v>
      </c>
      <c r="M505" s="156">
        <v>0</v>
      </c>
      <c r="N505" s="156">
        <v>0</v>
      </c>
      <c r="O505" s="156">
        <v>0</v>
      </c>
      <c r="P505" s="156">
        <v>0</v>
      </c>
      <c r="Q505" s="156">
        <v>0</v>
      </c>
      <c r="R505" s="156">
        <v>0</v>
      </c>
      <c r="S505" s="156">
        <v>0</v>
      </c>
      <c r="T505" s="156">
        <v>0</v>
      </c>
      <c r="U505" s="156">
        <v>0</v>
      </c>
      <c r="V505" s="156">
        <v>1.1308556199073792</v>
      </c>
      <c r="W505" s="164">
        <v>98.636156956568769</v>
      </c>
    </row>
    <row r="506" spans="1:23" ht="14.4" hidden="1" customHeight="1" outlineLevel="2">
      <c r="A506" s="363"/>
      <c r="B506" s="365"/>
      <c r="C506" s="151" t="str">
        <f t="shared" si="7"/>
        <v>Consommation finale</v>
      </c>
      <c r="D506" s="270"/>
      <c r="E506" s="159" t="s">
        <v>226</v>
      </c>
      <c r="F506" s="160">
        <v>5.0447988684294867</v>
      </c>
      <c r="G506" s="160">
        <v>0</v>
      </c>
      <c r="H506" s="160">
        <v>283.15337838142864</v>
      </c>
      <c r="I506" s="160">
        <v>1.3992415218776639</v>
      </c>
      <c r="J506" s="160">
        <v>231.58152451746659</v>
      </c>
      <c r="K506" s="160">
        <v>0</v>
      </c>
      <c r="L506" s="160">
        <v>0</v>
      </c>
      <c r="M506" s="160">
        <v>0</v>
      </c>
      <c r="N506" s="160">
        <v>87.200173417219318</v>
      </c>
      <c r="O506" s="160">
        <v>1.3016671139780167</v>
      </c>
      <c r="P506" s="160">
        <v>15.720350913248343</v>
      </c>
      <c r="Q506" s="160">
        <v>15.396526167898536</v>
      </c>
      <c r="R506" s="160">
        <v>113.49836377014931</v>
      </c>
      <c r="S506" s="160">
        <v>4.1237718959818928</v>
      </c>
      <c r="T506" s="160">
        <v>627.59509274595302</v>
      </c>
      <c r="U506" s="160">
        <v>38.412812864419408</v>
      </c>
      <c r="V506" s="160">
        <v>10.455440559700687</v>
      </c>
      <c r="W506" s="160">
        <v>1434.8831427377511</v>
      </c>
    </row>
    <row r="507" spans="1:23" outlineLevel="1" collapsed="1">
      <c r="A507" s="363"/>
      <c r="B507" s="365"/>
      <c r="C507" s="151" t="str">
        <f t="shared" si="7"/>
        <v/>
      </c>
      <c r="D507" s="115"/>
      <c r="E507" s="114"/>
      <c r="F507" s="169"/>
      <c r="G507" s="169"/>
      <c r="H507" s="169"/>
      <c r="I507" s="169"/>
      <c r="J507" s="169"/>
      <c r="K507" s="169"/>
      <c r="L507" s="169"/>
      <c r="M507" s="271"/>
      <c r="N507" s="169"/>
      <c r="O507" s="169"/>
      <c r="P507" s="169"/>
      <c r="Q507" s="169"/>
      <c r="R507" s="169"/>
      <c r="S507" s="169"/>
      <c r="T507" s="169"/>
      <c r="U507" s="169"/>
      <c r="V507" s="169"/>
      <c r="W507" s="169"/>
    </row>
    <row r="508" spans="1:23" outlineLevel="1">
      <c r="A508" s="363"/>
      <c r="B508" s="364"/>
      <c r="C508" s="151"/>
      <c r="D508" s="115"/>
      <c r="E508" s="115"/>
      <c r="F508" s="115"/>
      <c r="G508" s="115"/>
      <c r="H508" s="115"/>
      <c r="I508" s="115"/>
      <c r="J508" s="115"/>
      <c r="K508" s="115"/>
      <c r="L508" s="115"/>
      <c r="M508" s="115"/>
    </row>
    <row r="509" spans="1:23" outlineLevel="1">
      <c r="A509" s="363"/>
      <c r="B509" s="364"/>
      <c r="C509" s="151" t="str">
        <f t="shared" ref="C509" si="8">IF(ISBLANK(E509),IF(ISBLANK(F509),"",F509),E509)</f>
        <v/>
      </c>
      <c r="D509" s="629"/>
      <c r="E509" s="629"/>
      <c r="F509" s="629"/>
    </row>
    <row r="510" spans="1:23" ht="28.8" thickBot="1">
      <c r="A510" s="366"/>
      <c r="C510" s="151" t="str">
        <f t="shared" ref="C510:C596" si="9">IF(ISBLANK(E510),IF(ISBLANK(F510),"",F510),E510)</f>
        <v>Offre-demande d'énergie</v>
      </c>
      <c r="D510" s="371"/>
      <c r="E510" s="635" t="s">
        <v>635</v>
      </c>
      <c r="F510" s="635"/>
      <c r="G510" s="635"/>
      <c r="H510" s="635"/>
      <c r="I510" s="635"/>
      <c r="J510" s="635"/>
      <c r="K510" s="635"/>
      <c r="L510" s="635"/>
      <c r="M510" s="371"/>
    </row>
    <row r="511" spans="1:23" ht="15" thickTop="1">
      <c r="A511" s="366"/>
      <c r="C511" s="151" t="str">
        <f t="shared" si="9"/>
        <v/>
      </c>
      <c r="D511" s="3"/>
      <c r="E511" s="3"/>
      <c r="F511" s="3"/>
      <c r="G511" s="3"/>
      <c r="H511" s="3"/>
      <c r="I511" s="3"/>
      <c r="J511" s="3"/>
      <c r="K511" s="3"/>
      <c r="L511" s="3"/>
      <c r="M511" s="3"/>
    </row>
    <row r="512" spans="1:23" ht="15.6" outlineLevel="1">
      <c r="A512" s="366"/>
      <c r="C512" s="151" t="str">
        <f t="shared" si="9"/>
        <v/>
      </c>
      <c r="D512" s="112"/>
      <c r="E512" s="113"/>
      <c r="F512" s="113"/>
      <c r="G512" s="113"/>
      <c r="H512" s="113"/>
      <c r="I512" s="113"/>
      <c r="J512" s="113"/>
      <c r="K512" s="113"/>
      <c r="L512" s="113"/>
      <c r="M512" s="3"/>
    </row>
    <row r="513" spans="1:13" ht="28.8" outlineLevel="1" thickBot="1">
      <c r="A513" s="366"/>
      <c r="B513" s="367"/>
      <c r="C513" s="151" t="str">
        <f t="shared" si="9"/>
        <v>Biomasse</v>
      </c>
      <c r="D513" s="371"/>
      <c r="E513" s="372"/>
      <c r="F513" s="635" t="s">
        <v>309</v>
      </c>
      <c r="G513" s="635"/>
      <c r="H513" s="635"/>
      <c r="I513" s="635"/>
      <c r="J513" s="635"/>
      <c r="K513" s="635"/>
      <c r="L513" s="635"/>
      <c r="M513" s="635"/>
    </row>
    <row r="514" spans="1:13" ht="15" outlineLevel="1" thickTop="1">
      <c r="A514" s="366"/>
      <c r="B514" s="367"/>
      <c r="C514" s="151" t="str">
        <f t="shared" si="9"/>
        <v/>
      </c>
    </row>
    <row r="515" spans="1:13" outlineLevel="2">
      <c r="A515" s="366"/>
      <c r="B515" s="367"/>
      <c r="C515" s="151" t="str">
        <f t="shared" si="9"/>
        <v/>
      </c>
      <c r="D515" s="115"/>
      <c r="E515" s="115"/>
      <c r="F515" s="115"/>
      <c r="G515" s="115"/>
      <c r="H515" s="115"/>
      <c r="I515" s="115"/>
      <c r="J515" s="115"/>
      <c r="K515" s="115"/>
      <c r="L515" s="115"/>
      <c r="M515" s="115"/>
    </row>
    <row r="516" spans="1:13" outlineLevel="2">
      <c r="A516" s="366"/>
      <c r="B516" s="367"/>
      <c r="C516" s="151" t="str">
        <f t="shared" si="9"/>
        <v/>
      </c>
      <c r="D516" s="115"/>
      <c r="E516" s="115"/>
      <c r="F516" s="115"/>
      <c r="G516" s="115"/>
      <c r="H516" s="115"/>
      <c r="I516" s="115"/>
      <c r="J516" s="115"/>
      <c r="K516" s="115"/>
      <c r="L516" s="115"/>
      <c r="M516" s="115"/>
    </row>
    <row r="517" spans="1:13" ht="15" outlineLevel="2" thickBot="1">
      <c r="A517" s="366"/>
      <c r="B517" s="367"/>
      <c r="C517" s="151" t="str">
        <f t="shared" si="9"/>
        <v>Evolution des consommations de biomasse solide</v>
      </c>
      <c r="D517" s="115"/>
      <c r="E517" s="627" t="s">
        <v>636</v>
      </c>
      <c r="F517" s="627"/>
      <c r="G517" s="627"/>
      <c r="H517" s="627"/>
      <c r="I517" s="627"/>
      <c r="J517" s="627"/>
      <c r="K517" s="627"/>
      <c r="L517" s="627"/>
      <c r="M517" s="115"/>
    </row>
    <row r="518" spans="1:13" outlineLevel="3">
      <c r="A518" s="366"/>
      <c r="B518" s="367"/>
      <c r="C518" s="151" t="str">
        <f t="shared" si="9"/>
        <v>TWhEf</v>
      </c>
      <c r="D518" s="115"/>
      <c r="E518" s="459" t="s">
        <v>644</v>
      </c>
      <c r="F518" s="529">
        <v>2019</v>
      </c>
      <c r="G518" s="529">
        <v>2025</v>
      </c>
      <c r="H518" s="529">
        <v>2030</v>
      </c>
      <c r="I518" s="529">
        <v>2035</v>
      </c>
      <c r="J518" s="529">
        <v>2040</v>
      </c>
      <c r="K518" s="529">
        <v>2045</v>
      </c>
      <c r="L518" s="530">
        <v>2050</v>
      </c>
      <c r="M518" s="115"/>
    </row>
    <row r="519" spans="1:13" outlineLevel="3">
      <c r="A519" s="366"/>
      <c r="B519" s="367"/>
      <c r="C519" s="151" t="str">
        <f t="shared" si="9"/>
        <v>Industrie</v>
      </c>
      <c r="D519" s="116"/>
      <c r="E519" s="218" t="s">
        <v>0</v>
      </c>
      <c r="F519" s="212">
        <v>15</v>
      </c>
      <c r="G519" s="213">
        <v>17.259648285470451</v>
      </c>
      <c r="H519" s="213">
        <v>21.114493335865976</v>
      </c>
      <c r="I519" s="213"/>
      <c r="J519" s="213">
        <v>23.337090109115561</v>
      </c>
      <c r="K519" s="213"/>
      <c r="L519" s="521">
        <v>26.022388428541166</v>
      </c>
      <c r="M519" s="115"/>
    </row>
    <row r="520" spans="1:13" outlineLevel="3">
      <c r="A520" s="366"/>
      <c r="B520" s="367"/>
      <c r="C520" s="151" t="str">
        <f t="shared" si="9"/>
        <v>Transports (hors soutes)</v>
      </c>
      <c r="D520" s="117"/>
      <c r="E520" s="218" t="s">
        <v>637</v>
      </c>
      <c r="F520" s="212">
        <v>0</v>
      </c>
      <c r="G520" s="213">
        <v>0</v>
      </c>
      <c r="H520" s="213">
        <v>0</v>
      </c>
      <c r="I520" s="213"/>
      <c r="J520" s="213">
        <v>0</v>
      </c>
      <c r="K520" s="213"/>
      <c r="L520" s="521">
        <v>0</v>
      </c>
      <c r="M520" s="115"/>
    </row>
    <row r="521" spans="1:13" outlineLevel="3">
      <c r="A521" s="366"/>
      <c r="B521" s="367"/>
      <c r="C521" s="151" t="str">
        <f t="shared" si="9"/>
        <v>Résidentiel</v>
      </c>
      <c r="D521" s="117"/>
      <c r="E521" s="218" t="s">
        <v>221</v>
      </c>
      <c r="F521" s="212">
        <v>75</v>
      </c>
      <c r="G521" s="213">
        <v>67.540467929832246</v>
      </c>
      <c r="H521" s="213">
        <v>62.526172225314767</v>
      </c>
      <c r="I521" s="213"/>
      <c r="J521" s="213">
        <v>58.226786138016692</v>
      </c>
      <c r="K521" s="213"/>
      <c r="L521" s="521">
        <v>58.681979811046453</v>
      </c>
      <c r="M521" s="115"/>
    </row>
    <row r="522" spans="1:13" outlineLevel="3">
      <c r="A522" s="366"/>
      <c r="B522" s="367"/>
      <c r="C522" s="151" t="str">
        <f t="shared" si="9"/>
        <v>Tertiaire</v>
      </c>
      <c r="D522" s="117"/>
      <c r="E522" s="218" t="s">
        <v>222</v>
      </c>
      <c r="F522" s="212">
        <v>3</v>
      </c>
      <c r="G522" s="213">
        <v>0.22864252759486806</v>
      </c>
      <c r="H522" s="213">
        <v>0.23724512306614243</v>
      </c>
      <c r="I522" s="213"/>
      <c r="J522" s="213">
        <v>0.24732146287410545</v>
      </c>
      <c r="K522" s="213"/>
      <c r="L522" s="521">
        <v>0.25394555941252195</v>
      </c>
      <c r="M522" s="115"/>
    </row>
    <row r="523" spans="1:13" outlineLevel="3">
      <c r="A523" s="366"/>
      <c r="B523" s="367"/>
      <c r="C523" s="151" t="str">
        <f t="shared" si="9"/>
        <v>Agriculture</v>
      </c>
      <c r="D523" s="117"/>
      <c r="E523" s="218" t="s">
        <v>118</v>
      </c>
      <c r="F523" s="212">
        <v>1.6</v>
      </c>
      <c r="G523" s="213">
        <v>0.67193978151949763</v>
      </c>
      <c r="H523" s="213">
        <v>0.94419327023575583</v>
      </c>
      <c r="I523" s="213"/>
      <c r="J523" s="213">
        <v>1.5375958427691865</v>
      </c>
      <c r="K523" s="213"/>
      <c r="L523" s="521">
        <v>2.1309984153026171</v>
      </c>
      <c r="M523" s="115"/>
    </row>
    <row r="524" spans="1:13" outlineLevel="3">
      <c r="A524" s="366"/>
      <c r="B524" s="367"/>
      <c r="C524" s="151" t="str">
        <f t="shared" si="9"/>
        <v>Production d'électricité</v>
      </c>
      <c r="D524" s="117"/>
      <c r="E524" s="218" t="s">
        <v>13</v>
      </c>
      <c r="F524" s="212">
        <v>16.3</v>
      </c>
      <c r="G524" s="213">
        <v>24.782588506785004</v>
      </c>
      <c r="H524" s="213">
        <v>22.148556668247597</v>
      </c>
      <c r="I524" s="213"/>
      <c r="J524" s="213">
        <v>19.516324358633959</v>
      </c>
      <c r="K524" s="213"/>
      <c r="L524" s="521">
        <v>17.456372698532132</v>
      </c>
      <c r="M524" s="115"/>
    </row>
    <row r="525" spans="1:13" outlineLevel="3">
      <c r="A525" s="366"/>
      <c r="B525" s="367"/>
      <c r="C525" s="151" t="str">
        <f t="shared" si="9"/>
        <v>Réseaux de chaleur</v>
      </c>
      <c r="D525" s="117"/>
      <c r="E525" s="218" t="s">
        <v>638</v>
      </c>
      <c r="F525" s="212">
        <v>8</v>
      </c>
      <c r="G525" s="213">
        <v>15.744781143393997</v>
      </c>
      <c r="H525" s="213">
        <v>14.804773472784817</v>
      </c>
      <c r="I525" s="213"/>
      <c r="J525" s="213">
        <v>13.657594918439552</v>
      </c>
      <c r="K525" s="213"/>
      <c r="L525" s="521">
        <v>12.705096992611971</v>
      </c>
      <c r="M525" s="115"/>
    </row>
    <row r="526" spans="1:13" outlineLevel="3">
      <c r="A526" s="366"/>
      <c r="B526" s="367"/>
      <c r="C526" s="151" t="str">
        <f t="shared" si="9"/>
        <v>Soutes internationales</v>
      </c>
      <c r="D526" s="117"/>
      <c r="E526" s="218" t="s">
        <v>639</v>
      </c>
      <c r="F526" s="212">
        <v>0</v>
      </c>
      <c r="G526" s="213">
        <v>0</v>
      </c>
      <c r="H526" s="213">
        <v>0</v>
      </c>
      <c r="I526" s="213"/>
      <c r="J526" s="213">
        <v>0</v>
      </c>
      <c r="K526" s="213"/>
      <c r="L526" s="521">
        <v>0</v>
      </c>
      <c r="M526" s="115"/>
    </row>
    <row r="527" spans="1:13" outlineLevel="3">
      <c r="A527" s="366"/>
      <c r="B527" s="367"/>
      <c r="C527" s="151" t="str">
        <f t="shared" si="9"/>
        <v>Outre-mer</v>
      </c>
      <c r="D527" s="117"/>
      <c r="E527" s="218" t="s">
        <v>307</v>
      </c>
      <c r="F527" s="212">
        <v>0</v>
      </c>
      <c r="G527" s="213">
        <v>0</v>
      </c>
      <c r="H527" s="213">
        <v>0</v>
      </c>
      <c r="I527" s="213"/>
      <c r="J527" s="213">
        <v>0</v>
      </c>
      <c r="K527" s="213"/>
      <c r="L527" s="521">
        <v>0</v>
      </c>
      <c r="M527" s="115"/>
    </row>
    <row r="528" spans="1:13" outlineLevel="3">
      <c r="A528" s="366"/>
      <c r="B528" s="367"/>
      <c r="C528" s="151" t="str">
        <f t="shared" si="9"/>
        <v>Industrie - non-énergétique</v>
      </c>
      <c r="D528" s="117"/>
      <c r="E528" s="218" t="s">
        <v>640</v>
      </c>
      <c r="F528" s="212">
        <v>0</v>
      </c>
      <c r="G528" s="213">
        <v>0</v>
      </c>
      <c r="H528" s="213">
        <v>0</v>
      </c>
      <c r="I528" s="213"/>
      <c r="J528" s="213">
        <v>0</v>
      </c>
      <c r="K528" s="213"/>
      <c r="L528" s="521">
        <v>0</v>
      </c>
      <c r="M528" s="115"/>
    </row>
    <row r="529" spans="1:13" outlineLevel="3">
      <c r="A529" s="366"/>
      <c r="B529" s="367"/>
      <c r="C529" s="151" t="str">
        <f t="shared" si="9"/>
        <v>Total demande</v>
      </c>
      <c r="D529" s="117"/>
      <c r="E529" s="325" t="s">
        <v>641</v>
      </c>
      <c r="F529" s="132">
        <v>118.89999999999999</v>
      </c>
      <c r="G529" s="133">
        <v>126.22806817459606</v>
      </c>
      <c r="H529" s="133">
        <v>121.77543409551505</v>
      </c>
      <c r="I529" s="133"/>
      <c r="J529" s="133">
        <v>116.52271282984908</v>
      </c>
      <c r="K529" s="133"/>
      <c r="L529" s="461">
        <v>117.25078190544687</v>
      </c>
      <c r="M529" s="115"/>
    </row>
    <row r="530" spans="1:13" outlineLevel="3">
      <c r="A530" s="366"/>
      <c r="B530" s="367"/>
      <c r="C530" s="151" t="str">
        <f t="shared" si="9"/>
        <v>Total offre</v>
      </c>
      <c r="D530" s="117"/>
      <c r="E530" s="325" t="s">
        <v>642</v>
      </c>
      <c r="F530" s="132">
        <v>131.01075267071454</v>
      </c>
      <c r="G530" s="133">
        <v>135.74206734960674</v>
      </c>
      <c r="H530" s="133">
        <v>137.8585557472893</v>
      </c>
      <c r="I530" s="133"/>
      <c r="J530" s="133">
        <v>135.99088499162943</v>
      </c>
      <c r="K530" s="133"/>
      <c r="L530" s="461">
        <v>134.12321423596956</v>
      </c>
      <c r="M530" s="115"/>
    </row>
    <row r="531" spans="1:13" ht="15" outlineLevel="3" thickBot="1">
      <c r="A531" s="366"/>
      <c r="B531" s="367"/>
      <c r="C531" s="151" t="str">
        <f t="shared" si="9"/>
        <v>Ecart offre-demande</v>
      </c>
      <c r="D531" s="117"/>
      <c r="E531" s="525" t="s">
        <v>643</v>
      </c>
      <c r="F531" s="526">
        <v>12.110752670714547</v>
      </c>
      <c r="G531" s="527">
        <v>9.5139991750106816</v>
      </c>
      <c r="H531" s="527">
        <v>16.083121651774249</v>
      </c>
      <c r="I531" s="527"/>
      <c r="J531" s="527">
        <v>19.468172161780345</v>
      </c>
      <c r="K531" s="527"/>
      <c r="L531" s="528">
        <v>16.872432330522685</v>
      </c>
      <c r="M531" s="115"/>
    </row>
    <row r="532" spans="1:13" outlineLevel="3">
      <c r="A532" s="366"/>
      <c r="B532" s="367"/>
      <c r="C532" s="151" t="str">
        <f t="shared" si="9"/>
        <v>Périmètre Hexagone avec Corse</v>
      </c>
      <c r="D532" s="115"/>
      <c r="E532" s="610" t="s">
        <v>1108</v>
      </c>
      <c r="F532" s="610"/>
      <c r="G532" s="610"/>
      <c r="H532" s="610"/>
      <c r="I532" s="610"/>
      <c r="J532" s="610"/>
      <c r="K532" s="610"/>
      <c r="L532" s="610"/>
      <c r="M532" s="115"/>
    </row>
    <row r="533" spans="1:13" s="283" customFormat="1" outlineLevel="2">
      <c r="A533" s="366"/>
      <c r="B533" s="367"/>
      <c r="C533" s="151" t="str">
        <f t="shared" si="9"/>
        <v/>
      </c>
      <c r="D533" s="115"/>
      <c r="E533" s="278"/>
      <c r="F533" s="278"/>
      <c r="G533" s="278"/>
      <c r="H533" s="278"/>
      <c r="I533" s="278"/>
      <c r="J533" s="278"/>
      <c r="K533" s="278"/>
      <c r="L533" s="278"/>
      <c r="M533" s="115"/>
    </row>
    <row r="534" spans="1:13" s="283" customFormat="1" ht="15" outlineLevel="1" thickBot="1">
      <c r="A534" s="366"/>
      <c r="B534" s="367"/>
      <c r="C534" s="151" t="str">
        <f t="shared" si="9"/>
        <v>Evolution des consommations de biomasse liquide</v>
      </c>
      <c r="D534" s="115"/>
      <c r="E534" s="627" t="s">
        <v>645</v>
      </c>
      <c r="F534" s="627"/>
      <c r="G534" s="627"/>
      <c r="H534" s="627"/>
      <c r="I534" s="627"/>
      <c r="J534" s="627"/>
      <c r="K534" s="627"/>
      <c r="L534" s="627"/>
      <c r="M534" s="115"/>
    </row>
    <row r="535" spans="1:13" s="283" customFormat="1" outlineLevel="3">
      <c r="A535" s="366"/>
      <c r="B535" s="367"/>
      <c r="C535" s="151" t="str">
        <f t="shared" si="9"/>
        <v>TWhEf</v>
      </c>
      <c r="D535" s="115"/>
      <c r="E535" s="459" t="s">
        <v>644</v>
      </c>
      <c r="F535" s="529">
        <v>2019</v>
      </c>
      <c r="G535" s="529">
        <v>2025</v>
      </c>
      <c r="H535" s="529">
        <v>2030</v>
      </c>
      <c r="I535" s="529">
        <v>2035</v>
      </c>
      <c r="J535" s="529">
        <v>2040</v>
      </c>
      <c r="K535" s="529">
        <v>2045</v>
      </c>
      <c r="L535" s="530">
        <v>2050</v>
      </c>
      <c r="M535" s="115"/>
    </row>
    <row r="536" spans="1:13" s="283" customFormat="1" outlineLevel="3">
      <c r="A536" s="366"/>
      <c r="B536" s="367"/>
      <c r="C536" s="151" t="str">
        <f t="shared" si="9"/>
        <v>Industrie</v>
      </c>
      <c r="D536" s="115"/>
      <c r="E536" s="218" t="s">
        <v>0</v>
      </c>
      <c r="F536" s="212">
        <v>1.1000000000000001</v>
      </c>
      <c r="G536" s="213">
        <v>1.0500598522239739</v>
      </c>
      <c r="H536" s="213">
        <v>1.0889092453314444</v>
      </c>
      <c r="I536" s="213"/>
      <c r="J536" s="213">
        <v>1.1429368317807089</v>
      </c>
      <c r="K536" s="213"/>
      <c r="L536" s="521">
        <v>1.2087757382174462</v>
      </c>
      <c r="M536" s="115"/>
    </row>
    <row r="537" spans="1:13" s="283" customFormat="1" outlineLevel="3">
      <c r="A537" s="366"/>
      <c r="B537" s="367"/>
      <c r="C537" s="151" t="str">
        <f t="shared" si="9"/>
        <v>Transports (hors soutes)</v>
      </c>
      <c r="D537" s="115"/>
      <c r="E537" s="218" t="s">
        <v>637</v>
      </c>
      <c r="F537" s="212">
        <v>37.200000000000003</v>
      </c>
      <c r="G537" s="213">
        <v>38.682922363286558</v>
      </c>
      <c r="H537" s="213">
        <v>34.377295395467783</v>
      </c>
      <c r="I537" s="213"/>
      <c r="J537" s="213">
        <v>20.575221712393176</v>
      </c>
      <c r="K537" s="213"/>
      <c r="L537" s="521">
        <v>12.586521755418385</v>
      </c>
      <c r="M537" s="115"/>
    </row>
    <row r="538" spans="1:13" s="283" customFormat="1" outlineLevel="3">
      <c r="A538" s="366"/>
      <c r="B538" s="367"/>
      <c r="C538" s="151" t="str">
        <f t="shared" si="9"/>
        <v>Résidentiel</v>
      </c>
      <c r="D538" s="115"/>
      <c r="E538" s="218" t="s">
        <v>221</v>
      </c>
      <c r="F538" s="212">
        <v>0</v>
      </c>
      <c r="G538" s="213">
        <v>0</v>
      </c>
      <c r="H538" s="213">
        <v>0</v>
      </c>
      <c r="I538" s="213"/>
      <c r="J538" s="213">
        <v>0</v>
      </c>
      <c r="K538" s="213"/>
      <c r="L538" s="521">
        <v>0</v>
      </c>
      <c r="M538" s="115"/>
    </row>
    <row r="539" spans="1:13" s="283" customFormat="1" outlineLevel="3">
      <c r="A539" s="366"/>
      <c r="B539" s="367"/>
      <c r="C539" s="151" t="str">
        <f t="shared" si="9"/>
        <v>Tertiaire</v>
      </c>
      <c r="D539" s="115"/>
      <c r="E539" s="218" t="s">
        <v>222</v>
      </c>
      <c r="F539" s="212">
        <v>0</v>
      </c>
      <c r="G539" s="213">
        <v>0</v>
      </c>
      <c r="H539" s="213">
        <v>0</v>
      </c>
      <c r="I539" s="213"/>
      <c r="J539" s="213">
        <v>0</v>
      </c>
      <c r="K539" s="213"/>
      <c r="L539" s="521">
        <v>0</v>
      </c>
      <c r="M539" s="115"/>
    </row>
    <row r="540" spans="1:13" s="283" customFormat="1" outlineLevel="3">
      <c r="A540" s="366"/>
      <c r="B540" s="367"/>
      <c r="C540" s="151" t="str">
        <f t="shared" si="9"/>
        <v>Agriculture</v>
      </c>
      <c r="D540" s="115"/>
      <c r="E540" s="218" t="s">
        <v>118</v>
      </c>
      <c r="F540" s="212">
        <v>1.8</v>
      </c>
      <c r="G540" s="213">
        <v>1.860734674299823</v>
      </c>
      <c r="H540" s="213">
        <v>1.7726384240920439</v>
      </c>
      <c r="I540" s="213"/>
      <c r="J540" s="213">
        <v>1.8488459218522775</v>
      </c>
      <c r="K540" s="213"/>
      <c r="L540" s="521">
        <v>1.9250534196125115</v>
      </c>
      <c r="M540" s="115"/>
    </row>
    <row r="541" spans="1:13" s="283" customFormat="1" outlineLevel="3">
      <c r="A541" s="366"/>
      <c r="B541" s="367"/>
      <c r="C541" s="151" t="str">
        <f t="shared" si="9"/>
        <v>Production d'électricité</v>
      </c>
      <c r="D541" s="115"/>
      <c r="E541" s="218" t="s">
        <v>13</v>
      </c>
      <c r="F541" s="212">
        <v>0</v>
      </c>
      <c r="G541" s="213">
        <v>0</v>
      </c>
      <c r="H541" s="213">
        <v>0</v>
      </c>
      <c r="I541" s="213"/>
      <c r="J541" s="213">
        <v>0</v>
      </c>
      <c r="K541" s="213"/>
      <c r="L541" s="521">
        <v>0</v>
      </c>
      <c r="M541" s="115"/>
    </row>
    <row r="542" spans="1:13" s="283" customFormat="1" outlineLevel="3">
      <c r="A542" s="366"/>
      <c r="B542" s="367"/>
      <c r="C542" s="151" t="str">
        <f t="shared" si="9"/>
        <v>Réseaux de chaleur</v>
      </c>
      <c r="D542" s="115"/>
      <c r="E542" s="218" t="s">
        <v>638</v>
      </c>
      <c r="F542" s="212">
        <v>0</v>
      </c>
      <c r="G542" s="213">
        <v>0</v>
      </c>
      <c r="H542" s="213">
        <v>0</v>
      </c>
      <c r="I542" s="213"/>
      <c r="J542" s="213">
        <v>0</v>
      </c>
      <c r="K542" s="213"/>
      <c r="L542" s="521">
        <v>0</v>
      </c>
      <c r="M542" s="115"/>
    </row>
    <row r="543" spans="1:13" s="283" customFormat="1" outlineLevel="3">
      <c r="A543" s="366"/>
      <c r="B543" s="367"/>
      <c r="C543" s="151" t="str">
        <f t="shared" si="9"/>
        <v>Soutes internationales</v>
      </c>
      <c r="D543" s="115"/>
      <c r="E543" s="218" t="s">
        <v>639</v>
      </c>
      <c r="F543" s="212">
        <v>0</v>
      </c>
      <c r="G543" s="213">
        <v>2.0046062550562977</v>
      </c>
      <c r="H543" s="213">
        <v>4.268831555853752</v>
      </c>
      <c r="I543" s="213"/>
      <c r="J543" s="213">
        <v>17.01705496235358</v>
      </c>
      <c r="K543" s="213"/>
      <c r="L543" s="521">
        <v>21.646742237510509</v>
      </c>
      <c r="M543" s="115"/>
    </row>
    <row r="544" spans="1:13" s="283" customFormat="1" outlineLevel="3">
      <c r="A544" s="366"/>
      <c r="B544" s="367"/>
      <c r="C544" s="151" t="str">
        <f t="shared" si="9"/>
        <v>Outre-mer</v>
      </c>
      <c r="D544" s="115"/>
      <c r="E544" s="218" t="s">
        <v>307</v>
      </c>
      <c r="F544" s="212">
        <v>0</v>
      </c>
      <c r="G544" s="213">
        <v>0.5</v>
      </c>
      <c r="H544" s="213">
        <v>1</v>
      </c>
      <c r="I544" s="213"/>
      <c r="J544" s="213">
        <v>1</v>
      </c>
      <c r="K544" s="213"/>
      <c r="L544" s="521">
        <v>1</v>
      </c>
      <c r="M544" s="115"/>
    </row>
    <row r="545" spans="1:13" s="283" customFormat="1" outlineLevel="3">
      <c r="A545" s="366"/>
      <c r="B545" s="367"/>
      <c r="C545" s="151" t="str">
        <f t="shared" si="9"/>
        <v>Industrie - non-énergétique</v>
      </c>
      <c r="D545" s="115"/>
      <c r="E545" s="218" t="s">
        <v>640</v>
      </c>
      <c r="F545" s="212">
        <v>0</v>
      </c>
      <c r="G545" s="213">
        <v>0</v>
      </c>
      <c r="H545" s="213">
        <v>0</v>
      </c>
      <c r="I545" s="213"/>
      <c r="J545" s="213">
        <v>0</v>
      </c>
      <c r="K545" s="213"/>
      <c r="L545" s="521">
        <v>0</v>
      </c>
      <c r="M545" s="115"/>
    </row>
    <row r="546" spans="1:13" s="283" customFormat="1" outlineLevel="3">
      <c r="A546" s="366"/>
      <c r="B546" s="367"/>
      <c r="C546" s="151" t="str">
        <f t="shared" si="9"/>
        <v>Total demande</v>
      </c>
      <c r="D546" s="115"/>
      <c r="E546" s="325" t="s">
        <v>641</v>
      </c>
      <c r="F546" s="132">
        <v>40.1</v>
      </c>
      <c r="G546" s="133">
        <v>44.098323144866647</v>
      </c>
      <c r="H546" s="133">
        <v>42.507674620745021</v>
      </c>
      <c r="I546" s="133"/>
      <c r="J546" s="133">
        <v>41.584059428379746</v>
      </c>
      <c r="K546" s="133"/>
      <c r="L546" s="461">
        <v>38.367093150758848</v>
      </c>
      <c r="M546" s="115"/>
    </row>
    <row r="547" spans="1:13" s="283" customFormat="1" outlineLevel="3">
      <c r="A547" s="366"/>
      <c r="B547" s="367"/>
      <c r="C547" s="151" t="str">
        <f t="shared" si="9"/>
        <v>Total offre</v>
      </c>
      <c r="D547" s="115"/>
      <c r="E547" s="325" t="s">
        <v>642</v>
      </c>
      <c r="F547" s="132">
        <v>38.448189511328742</v>
      </c>
      <c r="G547" s="133">
        <v>39.660915990103845</v>
      </c>
      <c r="H547" s="133">
        <v>39.440699588970148</v>
      </c>
      <c r="I547" s="133"/>
      <c r="J547" s="133">
        <v>38.201165490442598</v>
      </c>
      <c r="K547" s="133"/>
      <c r="L547" s="461">
        <v>36.961631391915049</v>
      </c>
      <c r="M547" s="115"/>
    </row>
    <row r="548" spans="1:13" s="283" customFormat="1" ht="15" outlineLevel="3" thickBot="1">
      <c r="A548" s="366"/>
      <c r="B548" s="367"/>
      <c r="C548" s="151" t="str">
        <f t="shared" si="9"/>
        <v>Ecart offre-demande</v>
      </c>
      <c r="D548" s="115"/>
      <c r="E548" s="525" t="s">
        <v>643</v>
      </c>
      <c r="F548" s="526">
        <v>-1.6518104886712592</v>
      </c>
      <c r="G548" s="527">
        <v>-4.437407154762802</v>
      </c>
      <c r="H548" s="527">
        <v>-3.0669750317748736</v>
      </c>
      <c r="I548" s="527"/>
      <c r="J548" s="527">
        <v>-3.3828939379371477</v>
      </c>
      <c r="K548" s="527"/>
      <c r="L548" s="528">
        <v>-1.4054617588437992</v>
      </c>
      <c r="M548" s="115"/>
    </row>
    <row r="549" spans="1:13" s="283" customFormat="1" outlineLevel="2">
      <c r="A549" s="366"/>
      <c r="B549" s="367"/>
      <c r="C549" s="151" t="str">
        <f t="shared" si="9"/>
        <v/>
      </c>
      <c r="D549" s="115"/>
      <c r="E549" s="115"/>
      <c r="F549" s="115"/>
      <c r="G549" s="115"/>
      <c r="H549" s="382" t="s">
        <v>1108</v>
      </c>
      <c r="I549" s="115"/>
      <c r="J549" s="115"/>
      <c r="K549" s="115"/>
      <c r="L549" s="115"/>
      <c r="M549" s="115"/>
    </row>
    <row r="550" spans="1:13" s="399" customFormat="1" outlineLevel="2">
      <c r="A550" s="366"/>
      <c r="B550" s="367"/>
      <c r="C550" s="151"/>
      <c r="D550" s="115"/>
      <c r="E550" s="115"/>
      <c r="F550" s="115"/>
      <c r="G550" s="115"/>
      <c r="H550" s="382"/>
      <c r="I550" s="115"/>
      <c r="J550" s="115"/>
      <c r="K550" s="115"/>
      <c r="L550" s="115"/>
      <c r="M550" s="115"/>
    </row>
    <row r="551" spans="1:13" s="283" customFormat="1" ht="15" outlineLevel="2" thickBot="1">
      <c r="A551" s="366"/>
      <c r="B551" s="367"/>
      <c r="C551" s="151" t="str">
        <f t="shared" si="9"/>
        <v>Evolution des consommations de biomasse gazeuse</v>
      </c>
      <c r="D551" s="115"/>
      <c r="E551" s="627" t="s">
        <v>646</v>
      </c>
      <c r="F551" s="627"/>
      <c r="G551" s="627"/>
      <c r="H551" s="627"/>
      <c r="I551" s="627"/>
      <c r="J551" s="627"/>
      <c r="K551" s="627"/>
      <c r="L551" s="627"/>
      <c r="M551" s="115"/>
    </row>
    <row r="552" spans="1:13" s="283" customFormat="1" outlineLevel="3">
      <c r="A552" s="366"/>
      <c r="B552" s="367"/>
      <c r="C552" s="151" t="str">
        <f t="shared" si="9"/>
        <v>TWhEf</v>
      </c>
      <c r="D552" s="115"/>
      <c r="E552" s="459" t="s">
        <v>644</v>
      </c>
      <c r="F552" s="529">
        <v>2019</v>
      </c>
      <c r="G552" s="529">
        <v>2025</v>
      </c>
      <c r="H552" s="529">
        <v>2030</v>
      </c>
      <c r="I552" s="529">
        <v>2035</v>
      </c>
      <c r="J552" s="529">
        <v>2040</v>
      </c>
      <c r="K552" s="529">
        <v>2045</v>
      </c>
      <c r="L552" s="530">
        <v>2050</v>
      </c>
      <c r="M552" s="115"/>
    </row>
    <row r="553" spans="1:13" s="283" customFormat="1" outlineLevel="3">
      <c r="A553" s="366"/>
      <c r="B553" s="367"/>
      <c r="C553" s="151" t="str">
        <f t="shared" si="9"/>
        <v>Industrie</v>
      </c>
      <c r="D553" s="115"/>
      <c r="E553" s="218" t="s">
        <v>0</v>
      </c>
      <c r="F553" s="212">
        <v>0.6</v>
      </c>
      <c r="G553" s="213">
        <v>5.1537666369454813</v>
      </c>
      <c r="H553" s="213">
        <v>7.635641282489356</v>
      </c>
      <c r="I553" s="136"/>
      <c r="J553" s="213">
        <v>7.5801310939098725</v>
      </c>
      <c r="K553" s="213"/>
      <c r="L553" s="521">
        <v>7.093233861881731</v>
      </c>
      <c r="M553" s="115"/>
    </row>
    <row r="554" spans="1:13" s="283" customFormat="1" outlineLevel="3">
      <c r="A554" s="366"/>
      <c r="B554" s="367"/>
      <c r="C554" s="151" t="str">
        <f t="shared" si="9"/>
        <v>Transports (hors soutes)</v>
      </c>
      <c r="D554" s="115"/>
      <c r="E554" s="218" t="s">
        <v>637</v>
      </c>
      <c r="F554" s="212">
        <v>0</v>
      </c>
      <c r="G554" s="213">
        <v>0.22737308436474538</v>
      </c>
      <c r="H554" s="213">
        <v>0.49983747349740087</v>
      </c>
      <c r="I554" s="136"/>
      <c r="J554" s="213">
        <v>0.59292601894085784</v>
      </c>
      <c r="K554" s="213"/>
      <c r="L554" s="521">
        <v>0.57127211371985542</v>
      </c>
      <c r="M554" s="115"/>
    </row>
    <row r="555" spans="1:13" s="283" customFormat="1" outlineLevel="3">
      <c r="A555" s="366"/>
      <c r="B555" s="367"/>
      <c r="C555" s="151" t="str">
        <f t="shared" si="9"/>
        <v>Résidentiel</v>
      </c>
      <c r="D555" s="115"/>
      <c r="E555" s="218" t="s">
        <v>221</v>
      </c>
      <c r="F555" s="212">
        <v>0</v>
      </c>
      <c r="G555" s="213">
        <v>5.0435331678575039</v>
      </c>
      <c r="H555" s="213">
        <v>6.7246270246538611</v>
      </c>
      <c r="I555" s="133"/>
      <c r="J555" s="213">
        <v>5.8924114730852439</v>
      </c>
      <c r="K555" s="213"/>
      <c r="L555" s="521">
        <v>4.6438618435640091</v>
      </c>
      <c r="M555" s="115"/>
    </row>
    <row r="556" spans="1:13" s="283" customFormat="1" outlineLevel="3">
      <c r="A556" s="366"/>
      <c r="B556" s="367"/>
      <c r="C556" s="151" t="str">
        <f t="shared" si="9"/>
        <v>Tertiaire</v>
      </c>
      <c r="D556" s="115"/>
      <c r="E556" s="218" t="s">
        <v>222</v>
      </c>
      <c r="F556" s="212">
        <v>1.5</v>
      </c>
      <c r="G556" s="213">
        <v>3.0214348540743901</v>
      </c>
      <c r="H556" s="213">
        <v>3.8636392652651268</v>
      </c>
      <c r="I556" s="136"/>
      <c r="J556" s="213">
        <v>3.5217750893012711</v>
      </c>
      <c r="K556" s="213"/>
      <c r="L556" s="521">
        <v>2.9414252334489817</v>
      </c>
      <c r="M556" s="115"/>
    </row>
    <row r="557" spans="1:13" s="283" customFormat="1" outlineLevel="3">
      <c r="A557" s="366"/>
      <c r="B557" s="367"/>
      <c r="C557" s="151" t="str">
        <f t="shared" si="9"/>
        <v>Agriculture</v>
      </c>
      <c r="D557" s="115"/>
      <c r="E557" s="218" t="s">
        <v>118</v>
      </c>
      <c r="F557" s="212">
        <v>0.4</v>
      </c>
      <c r="G557" s="213">
        <v>0.12866873241861509</v>
      </c>
      <c r="H557" s="213">
        <v>0.16766631101537727</v>
      </c>
      <c r="I557" s="133"/>
      <c r="J557" s="213">
        <v>0.1523404909749291</v>
      </c>
      <c r="K557" s="213"/>
      <c r="L557" s="521">
        <v>0.12853810732916202</v>
      </c>
      <c r="M557" s="115"/>
    </row>
    <row r="558" spans="1:13" s="283" customFormat="1" outlineLevel="3">
      <c r="A558" s="366"/>
      <c r="B558" s="367"/>
      <c r="C558" s="151" t="str">
        <f t="shared" si="9"/>
        <v>Production d'électricité</v>
      </c>
      <c r="D558" s="115"/>
      <c r="E558" s="218" t="s">
        <v>13</v>
      </c>
      <c r="F558" s="212">
        <v>4.7</v>
      </c>
      <c r="G558" s="213">
        <v>5.8867924528301874</v>
      </c>
      <c r="H558" s="213">
        <v>5.672727272727272</v>
      </c>
      <c r="I558" s="136"/>
      <c r="J558" s="213">
        <v>5.4260869565217389</v>
      </c>
      <c r="K558" s="213"/>
      <c r="L558" s="521">
        <v>5.1999999999999993</v>
      </c>
      <c r="M558" s="115"/>
    </row>
    <row r="559" spans="1:13" s="283" customFormat="1" outlineLevel="3">
      <c r="A559" s="366"/>
      <c r="B559" s="367"/>
      <c r="C559" s="151" t="str">
        <f t="shared" si="9"/>
        <v>Réseaux de chaleur</v>
      </c>
      <c r="D559" s="115"/>
      <c r="E559" s="218" t="s">
        <v>638</v>
      </c>
      <c r="F559" s="212">
        <v>2.8</v>
      </c>
      <c r="G559" s="213">
        <v>2.8862186127709673</v>
      </c>
      <c r="H559" s="213">
        <v>2.6605383212642844</v>
      </c>
      <c r="I559" s="136"/>
      <c r="J559" s="213">
        <v>2.5206809463014661</v>
      </c>
      <c r="K559" s="213"/>
      <c r="L559" s="521">
        <v>2.4057327657459213</v>
      </c>
      <c r="M559" s="115"/>
    </row>
    <row r="560" spans="1:13" s="283" customFormat="1" outlineLevel="3">
      <c r="A560" s="366"/>
      <c r="B560" s="367"/>
      <c r="C560" s="151" t="str">
        <f t="shared" si="9"/>
        <v>Soutes internationales</v>
      </c>
      <c r="D560" s="115"/>
      <c r="E560" s="218" t="s">
        <v>639</v>
      </c>
      <c r="F560" s="212">
        <v>0</v>
      </c>
      <c r="G560" s="213">
        <v>0</v>
      </c>
      <c r="H560" s="213">
        <v>0</v>
      </c>
      <c r="I560" s="136"/>
      <c r="J560" s="213">
        <v>0</v>
      </c>
      <c r="K560" s="213"/>
      <c r="L560" s="521">
        <v>0</v>
      </c>
      <c r="M560" s="115"/>
    </row>
    <row r="561" spans="1:13" s="283" customFormat="1" outlineLevel="3">
      <c r="A561" s="366"/>
      <c r="B561" s="367"/>
      <c r="C561" s="151" t="str">
        <f t="shared" si="9"/>
        <v>Outre-mer</v>
      </c>
      <c r="D561" s="115"/>
      <c r="E561" s="218" t="s">
        <v>307</v>
      </c>
      <c r="F561" s="212">
        <v>0</v>
      </c>
      <c r="G561" s="213">
        <v>0</v>
      </c>
      <c r="H561" s="213">
        <v>0</v>
      </c>
      <c r="I561" s="133"/>
      <c r="J561" s="213"/>
      <c r="K561" s="213"/>
      <c r="L561" s="521">
        <v>0</v>
      </c>
      <c r="M561" s="115"/>
    </row>
    <row r="562" spans="1:13" s="283" customFormat="1" outlineLevel="3">
      <c r="A562" s="366"/>
      <c r="B562" s="367"/>
      <c r="C562" s="151" t="str">
        <f t="shared" si="9"/>
        <v>Industrie - non-énergétique</v>
      </c>
      <c r="D562" s="115"/>
      <c r="E562" s="218" t="s">
        <v>640</v>
      </c>
      <c r="F562" s="212">
        <v>0</v>
      </c>
      <c r="G562" s="213">
        <v>0</v>
      </c>
      <c r="H562" s="213">
        <v>0</v>
      </c>
      <c r="I562" s="136"/>
      <c r="J562" s="213">
        <v>0</v>
      </c>
      <c r="K562" s="213"/>
      <c r="L562" s="521">
        <v>0</v>
      </c>
      <c r="M562" s="115"/>
    </row>
    <row r="563" spans="1:13" s="283" customFormat="1" outlineLevel="3">
      <c r="A563" s="366"/>
      <c r="B563" s="367"/>
      <c r="C563" s="151" t="str">
        <f t="shared" si="9"/>
        <v>Total demande</v>
      </c>
      <c r="D563" s="115"/>
      <c r="E563" s="325" t="s">
        <v>641</v>
      </c>
      <c r="F563" s="132">
        <v>10</v>
      </c>
      <c r="G563" s="133">
        <v>22.347787541261891</v>
      </c>
      <c r="H563" s="133">
        <v>27.224676950912677</v>
      </c>
      <c r="I563" s="133"/>
      <c r="J563" s="133">
        <v>25.686352069035379</v>
      </c>
      <c r="K563" s="133"/>
      <c r="L563" s="461">
        <v>22.984063925689657</v>
      </c>
      <c r="M563" s="115"/>
    </row>
    <row r="564" spans="1:13" s="283" customFormat="1" outlineLevel="3">
      <c r="A564" s="366"/>
      <c r="B564" s="367"/>
      <c r="C564" s="151" t="str">
        <f t="shared" si="9"/>
        <v>Total offre</v>
      </c>
      <c r="D564" s="115"/>
      <c r="E564" s="325" t="s">
        <v>642</v>
      </c>
      <c r="F564" s="132">
        <v>7.1746686169169136</v>
      </c>
      <c r="G564" s="133">
        <v>9.4177807312169133</v>
      </c>
      <c r="H564" s="133">
        <v>15.138464313010411</v>
      </c>
      <c r="I564" s="133"/>
      <c r="J564" s="133">
        <v>21.031154429480466</v>
      </c>
      <c r="K564" s="133"/>
      <c r="L564" s="461">
        <v>27.716947994226384</v>
      </c>
      <c r="M564" s="115"/>
    </row>
    <row r="565" spans="1:13" s="283" customFormat="1" ht="15" outlineLevel="3" thickBot="1">
      <c r="A565" s="366"/>
      <c r="B565" s="367"/>
      <c r="C565" s="151" t="str">
        <f t="shared" si="9"/>
        <v>Ecart offre-demande</v>
      </c>
      <c r="D565" s="115"/>
      <c r="E565" s="525" t="s">
        <v>643</v>
      </c>
      <c r="F565" s="526">
        <v>-2.8253313830830864</v>
      </c>
      <c r="G565" s="527">
        <v>-12.930006810044977</v>
      </c>
      <c r="H565" s="527">
        <v>-12.086212637902266</v>
      </c>
      <c r="I565" s="527"/>
      <c r="J565" s="527">
        <v>-4.6551976395549133</v>
      </c>
      <c r="K565" s="527"/>
      <c r="L565" s="528">
        <v>4.7328840685367268</v>
      </c>
      <c r="M565" s="115"/>
    </row>
    <row r="566" spans="1:13" s="283" customFormat="1" outlineLevel="2">
      <c r="A566" s="366"/>
      <c r="B566" s="367"/>
      <c r="C566" s="151" t="str">
        <f t="shared" si="9"/>
        <v/>
      </c>
      <c r="D566" s="115"/>
      <c r="E566" s="115"/>
      <c r="F566" s="115"/>
      <c r="G566" s="115"/>
      <c r="H566" s="382" t="s">
        <v>1108</v>
      </c>
      <c r="I566" s="115"/>
      <c r="J566" s="115"/>
      <c r="K566" s="115"/>
      <c r="L566" s="115"/>
      <c r="M566" s="115"/>
    </row>
    <row r="567" spans="1:13" s="283" customFormat="1" outlineLevel="1">
      <c r="A567" s="366"/>
      <c r="B567" s="367"/>
      <c r="C567" s="151" t="str">
        <f t="shared" si="9"/>
        <v/>
      </c>
      <c r="D567" s="115"/>
      <c r="E567" s="115"/>
      <c r="F567" s="115"/>
      <c r="G567" s="115"/>
      <c r="H567" s="115"/>
      <c r="I567" s="115"/>
      <c r="J567" s="115"/>
      <c r="K567" s="115"/>
      <c r="L567" s="115"/>
      <c r="M567" s="115"/>
    </row>
    <row r="568" spans="1:13" outlineLevel="1">
      <c r="A568" s="366"/>
      <c r="B568" s="367"/>
      <c r="C568" s="151" t="str">
        <f t="shared" si="9"/>
        <v/>
      </c>
      <c r="D568" s="629"/>
      <c r="E568" s="629"/>
      <c r="F568" s="629"/>
    </row>
    <row r="569" spans="1:13" ht="28.8" outlineLevel="1" thickBot="1">
      <c r="A569" s="366"/>
      <c r="B569" s="367"/>
      <c r="C569" s="151" t="str">
        <f t="shared" si="9"/>
        <v>Electricité</v>
      </c>
      <c r="D569" s="371"/>
      <c r="E569" s="372"/>
      <c r="F569" s="635" t="s">
        <v>260</v>
      </c>
      <c r="G569" s="635"/>
      <c r="H569" s="635"/>
      <c r="I569" s="635"/>
      <c r="J569" s="635"/>
      <c r="K569" s="635"/>
      <c r="L569" s="635"/>
      <c r="M569" s="635"/>
    </row>
    <row r="570" spans="1:13" ht="15" outlineLevel="1" thickTop="1">
      <c r="A570" s="366"/>
      <c r="B570" s="367"/>
      <c r="C570" s="151" t="str">
        <f t="shared" si="9"/>
        <v/>
      </c>
      <c r="D570" s="208"/>
      <c r="E570" s="208"/>
      <c r="F570" s="208"/>
    </row>
    <row r="571" spans="1:13" outlineLevel="2">
      <c r="A571" s="366"/>
      <c r="B571" s="367"/>
      <c r="C571" s="151" t="str">
        <f t="shared" si="9"/>
        <v/>
      </c>
      <c r="D571" s="115"/>
      <c r="E571" s="115"/>
      <c r="F571" s="115"/>
      <c r="G571" s="115"/>
      <c r="H571" s="115"/>
      <c r="I571" s="115"/>
      <c r="J571" s="115"/>
      <c r="K571" s="115"/>
      <c r="L571" s="115"/>
      <c r="M571" s="115"/>
    </row>
    <row r="572" spans="1:13" s="283" customFormat="1" ht="14.4" customHeight="1" outlineLevel="2">
      <c r="A572" s="366"/>
      <c r="B572" s="367"/>
      <c r="C572" s="151" t="str">
        <f t="shared" si="9"/>
        <v/>
      </c>
      <c r="D572" s="115"/>
      <c r="E572" s="276"/>
      <c r="F572" s="277"/>
      <c r="G572" s="277"/>
      <c r="H572" s="277"/>
      <c r="I572" s="277"/>
      <c r="J572" s="277"/>
      <c r="K572" s="277"/>
      <c r="L572" s="277"/>
      <c r="M572" s="115"/>
    </row>
    <row r="573" spans="1:13" s="283" customFormat="1" ht="14.4" customHeight="1" outlineLevel="2" thickBot="1">
      <c r="A573" s="366"/>
      <c r="B573" s="367"/>
      <c r="C573" s="151" t="str">
        <f t="shared" si="9"/>
        <v>Evolution des consommations d'électricité</v>
      </c>
      <c r="D573" s="115"/>
      <c r="E573" s="627" t="s">
        <v>647</v>
      </c>
      <c r="F573" s="627"/>
      <c r="G573" s="627"/>
      <c r="H573" s="627"/>
      <c r="I573" s="627"/>
      <c r="J573" s="627"/>
      <c r="K573" s="627"/>
      <c r="L573" s="627"/>
      <c r="M573" s="115"/>
    </row>
    <row r="574" spans="1:13" s="283" customFormat="1" ht="14.4" customHeight="1" outlineLevel="3">
      <c r="A574" s="366"/>
      <c r="B574" s="367"/>
      <c r="C574" s="151" t="str">
        <f t="shared" si="9"/>
        <v>TWh</v>
      </c>
      <c r="D574" s="115"/>
      <c r="E574" s="459" t="s">
        <v>184</v>
      </c>
      <c r="F574" s="529">
        <v>2022</v>
      </c>
      <c r="G574" s="529">
        <v>2025</v>
      </c>
      <c r="H574" s="529">
        <v>2030</v>
      </c>
      <c r="I574" s="529">
        <v>2035</v>
      </c>
      <c r="J574" s="529">
        <v>2040</v>
      </c>
      <c r="K574" s="529">
        <v>2045</v>
      </c>
      <c r="L574" s="530">
        <v>2050</v>
      </c>
      <c r="M574" s="115"/>
    </row>
    <row r="575" spans="1:13" s="283" customFormat="1" ht="14.4" customHeight="1" outlineLevel="3">
      <c r="A575" s="366"/>
      <c r="B575" s="367"/>
      <c r="C575" s="151" t="str">
        <f t="shared" si="9"/>
        <v>Résidentiel</v>
      </c>
      <c r="D575" s="115"/>
      <c r="E575" s="218" t="s">
        <v>221</v>
      </c>
      <c r="F575" s="212">
        <v>155.70268349970002</v>
      </c>
      <c r="G575" s="213">
        <v>155.49759845073993</v>
      </c>
      <c r="H575" s="213">
        <v>160.59391429131961</v>
      </c>
      <c r="I575" s="213">
        <v>165.82539309415804</v>
      </c>
      <c r="J575" s="213">
        <v>170.25440106905901</v>
      </c>
      <c r="K575" s="213">
        <v>172.18830291412965</v>
      </c>
      <c r="L575" s="521">
        <v>173.85849669789073</v>
      </c>
      <c r="M575" s="115"/>
    </row>
    <row r="576" spans="1:13" s="283" customFormat="1" ht="14.4" customHeight="1" outlineLevel="3">
      <c r="A576" s="366"/>
      <c r="B576" s="367"/>
      <c r="C576" s="151" t="str">
        <f t="shared" si="9"/>
        <v>Tertiaire</v>
      </c>
      <c r="D576" s="115"/>
      <c r="E576" s="218" t="s">
        <v>222</v>
      </c>
      <c r="F576" s="212">
        <v>132.93085372632407</v>
      </c>
      <c r="G576" s="213">
        <v>134.11983246965818</v>
      </c>
      <c r="H576" s="213">
        <v>137.71337045835898</v>
      </c>
      <c r="I576" s="213">
        <v>145.10828455632222</v>
      </c>
      <c r="J576" s="213">
        <v>156.14606240147651</v>
      </c>
      <c r="K576" s="213">
        <v>168.60946252861834</v>
      </c>
      <c r="L576" s="521">
        <v>180.68455423777178</v>
      </c>
      <c r="M576" s="115"/>
    </row>
    <row r="577" spans="1:13" s="283" customFormat="1" ht="14.4" customHeight="1" outlineLevel="3">
      <c r="A577" s="366"/>
      <c r="B577" s="367"/>
      <c r="C577" s="151" t="str">
        <f t="shared" si="9"/>
        <v>Industrie</v>
      </c>
      <c r="D577" s="115"/>
      <c r="E577" s="218" t="s">
        <v>0</v>
      </c>
      <c r="F577" s="212">
        <v>107.71274076312685</v>
      </c>
      <c r="G577" s="213">
        <v>107.2446105671894</v>
      </c>
      <c r="H577" s="213">
        <v>114.50150459729684</v>
      </c>
      <c r="I577" s="213">
        <v>118.50789587784493</v>
      </c>
      <c r="J577" s="213">
        <v>122.91951107973217</v>
      </c>
      <c r="K577" s="213">
        <v>128.29357551932688</v>
      </c>
      <c r="L577" s="521">
        <v>134.21247811000825</v>
      </c>
      <c r="M577" s="115"/>
    </row>
    <row r="578" spans="1:13" s="283" customFormat="1" ht="14.4" customHeight="1" outlineLevel="3">
      <c r="A578" s="366"/>
      <c r="B578" s="367"/>
      <c r="C578" s="151" t="str">
        <f t="shared" si="9"/>
        <v>Transport</v>
      </c>
      <c r="D578" s="115"/>
      <c r="E578" s="218" t="s">
        <v>1</v>
      </c>
      <c r="F578" s="212">
        <v>11.065116218999572</v>
      </c>
      <c r="G578" s="213">
        <v>15.280990031280117</v>
      </c>
      <c r="H578" s="213">
        <v>28.976305201286692</v>
      </c>
      <c r="I578" s="213">
        <v>56.163134021596207</v>
      </c>
      <c r="J578" s="213">
        <v>89.896277121934205</v>
      </c>
      <c r="K578" s="213">
        <v>115.5473600049655</v>
      </c>
      <c r="L578" s="521">
        <v>128.42367276227387</v>
      </c>
      <c r="M578" s="115"/>
    </row>
    <row r="579" spans="1:13" s="283" customFormat="1" ht="14.4" customHeight="1" outlineLevel="3">
      <c r="A579" s="366"/>
      <c r="B579" s="367"/>
      <c r="C579" s="151" t="str">
        <f t="shared" si="9"/>
        <v>Agriculture</v>
      </c>
      <c r="D579" s="115"/>
      <c r="E579" s="218" t="s">
        <v>118</v>
      </c>
      <c r="F579" s="212">
        <v>7.8680694150503045</v>
      </c>
      <c r="G579" s="213">
        <v>7.6438306365349593</v>
      </c>
      <c r="H579" s="213">
        <v>7.2767724112666956</v>
      </c>
      <c r="I579" s="213">
        <v>6.9970510398040568</v>
      </c>
      <c r="J579" s="213">
        <v>6.7173296683414172</v>
      </c>
      <c r="K579" s="213">
        <v>6.4376082968787776</v>
      </c>
      <c r="L579" s="521">
        <v>6.1578869254161379</v>
      </c>
      <c r="M579" s="115"/>
    </row>
    <row r="580" spans="1:13" s="283" customFormat="1" ht="14.4" customHeight="1" outlineLevel="3">
      <c r="A580" s="366"/>
      <c r="B580" s="367"/>
      <c r="C580" s="151" t="str">
        <f t="shared" si="9"/>
        <v>Puits technologiques</v>
      </c>
      <c r="D580" s="115"/>
      <c r="E580" s="218" t="s">
        <v>223</v>
      </c>
      <c r="F580" s="212">
        <v>0</v>
      </c>
      <c r="G580" s="213">
        <v>0</v>
      </c>
      <c r="H580" s="213">
        <v>0</v>
      </c>
      <c r="I580" s="213">
        <v>5.9999999999999991E-2</v>
      </c>
      <c r="J580" s="213">
        <v>0.18</v>
      </c>
      <c r="K580" s="213">
        <v>0.18</v>
      </c>
      <c r="L580" s="521">
        <v>0.23999399999999996</v>
      </c>
      <c r="M580" s="115"/>
    </row>
    <row r="581" spans="1:13" s="283" customFormat="1" ht="14.4" customHeight="1" outlineLevel="3">
      <c r="A581" s="366"/>
      <c r="B581" s="367"/>
      <c r="C581" s="151" t="str">
        <f t="shared" si="9"/>
        <v>Production de H2</v>
      </c>
      <c r="D581" s="115"/>
      <c r="E581" s="218" t="s">
        <v>648</v>
      </c>
      <c r="F581" s="212">
        <v>6.8371424579641788E-3</v>
      </c>
      <c r="G581" s="213">
        <v>2.0117645717988058E-2</v>
      </c>
      <c r="H581" s="213">
        <v>3.710973440112503</v>
      </c>
      <c r="I581" s="213">
        <v>11.727116255425081</v>
      </c>
      <c r="J581" s="213">
        <v>21.346502217140078</v>
      </c>
      <c r="K581" s="213">
        <v>30.462636256854733</v>
      </c>
      <c r="L581" s="521">
        <v>61.785048304238821</v>
      </c>
      <c r="M581" s="115"/>
    </row>
    <row r="582" spans="1:13" s="283" customFormat="1" ht="14.4" customHeight="1" outlineLevel="3">
      <c r="A582" s="366"/>
      <c r="B582" s="367"/>
      <c r="C582" s="151" t="str">
        <f t="shared" si="9"/>
        <v>Usages internes</v>
      </c>
      <c r="D582" s="115"/>
      <c r="E582" s="218" t="s">
        <v>649</v>
      </c>
      <c r="F582" s="212">
        <v>25.979089108464883</v>
      </c>
      <c r="G582" s="213">
        <v>36.97579118315636</v>
      </c>
      <c r="H582" s="213">
        <v>36.45302906689173</v>
      </c>
      <c r="I582" s="213">
        <v>36.082848854127036</v>
      </c>
      <c r="J582" s="213">
        <v>37.010488337088752</v>
      </c>
      <c r="K582" s="213">
        <v>31.55237344688295</v>
      </c>
      <c r="L582" s="521">
        <v>22.279832616599514</v>
      </c>
      <c r="M582" s="115"/>
    </row>
    <row r="583" spans="1:13" s="283" customFormat="1" ht="14.4" customHeight="1" outlineLevel="3">
      <c r="A583" s="366"/>
      <c r="B583" s="367"/>
      <c r="C583" s="151" t="str">
        <f t="shared" si="9"/>
        <v>Consommation d'électricité, hors pertes</v>
      </c>
      <c r="D583" s="115"/>
      <c r="E583" s="325" t="s">
        <v>650</v>
      </c>
      <c r="F583" s="132">
        <v>441.26538987412368</v>
      </c>
      <c r="G583" s="133">
        <v>456.78277098427691</v>
      </c>
      <c r="H583" s="133">
        <v>489.22586946653303</v>
      </c>
      <c r="I583" s="133">
        <v>540.4717236992775</v>
      </c>
      <c r="J583" s="133">
        <v>604.47057189477209</v>
      </c>
      <c r="K583" s="133">
        <v>653.27131896765673</v>
      </c>
      <c r="L583" s="461">
        <v>707.64196365419912</v>
      </c>
      <c r="M583" s="115"/>
    </row>
    <row r="584" spans="1:13" s="283" customFormat="1" ht="14.4" customHeight="1" outlineLevel="3">
      <c r="A584" s="366"/>
      <c r="B584" s="367"/>
      <c r="C584" s="151" t="str">
        <f t="shared" si="9"/>
        <v>Pertes estimées</v>
      </c>
      <c r="D584" s="115"/>
      <c r="E584" s="218" t="s">
        <v>651</v>
      </c>
      <c r="F584" s="212">
        <v>36.633903462581372</v>
      </c>
      <c r="G584" s="213">
        <v>37.943552794949959</v>
      </c>
      <c r="H584" s="213">
        <v>40.666361188641403</v>
      </c>
      <c r="I584" s="213">
        <v>44.92556761621772</v>
      </c>
      <c r="J584" s="213">
        <v>50.234288841818149</v>
      </c>
      <c r="K584" s="213">
        <v>54.283428531781119</v>
      </c>
      <c r="L584" s="521">
        <v>58.676944550840062</v>
      </c>
      <c r="M584" s="115"/>
    </row>
    <row r="585" spans="1:13" s="283" customFormat="1" ht="14.4" customHeight="1" outlineLevel="3" thickBot="1">
      <c r="A585" s="366"/>
      <c r="B585" s="367"/>
      <c r="C585" s="151" t="str">
        <f t="shared" si="9"/>
        <v>Consommation totale d'électricité</v>
      </c>
      <c r="D585" s="115"/>
      <c r="E585" s="525" t="s">
        <v>652</v>
      </c>
      <c r="F585" s="526">
        <v>477.89929333670506</v>
      </c>
      <c r="G585" s="527">
        <v>494.72632377922685</v>
      </c>
      <c r="H585" s="527">
        <v>529.89223065517444</v>
      </c>
      <c r="I585" s="527">
        <v>585.39729131549518</v>
      </c>
      <c r="J585" s="527">
        <v>654.70486073659026</v>
      </c>
      <c r="K585" s="527">
        <v>707.55474749943789</v>
      </c>
      <c r="L585" s="528">
        <v>766.31890820503918</v>
      </c>
      <c r="M585" s="115"/>
    </row>
    <row r="586" spans="1:13" s="283" customFormat="1" ht="14.4" customHeight="1" outlineLevel="3">
      <c r="A586" s="366"/>
      <c r="B586" s="367"/>
      <c r="C586" s="151" t="str">
        <f t="shared" si="9"/>
        <v/>
      </c>
      <c r="D586" s="115"/>
      <c r="E586" s="276"/>
      <c r="F586" s="277"/>
      <c r="G586" s="277"/>
      <c r="H586" s="382" t="s">
        <v>564</v>
      </c>
      <c r="I586" s="277"/>
      <c r="J586" s="277"/>
      <c r="K586" s="277"/>
      <c r="L586" s="277"/>
      <c r="M586" s="115"/>
    </row>
    <row r="587" spans="1:13" s="283" customFormat="1" ht="14.4" customHeight="1" outlineLevel="2">
      <c r="A587" s="366"/>
      <c r="B587" s="367"/>
      <c r="C587" s="151" t="str">
        <f t="shared" si="9"/>
        <v/>
      </c>
      <c r="D587" s="115"/>
      <c r="E587" s="276"/>
      <c r="F587" s="277"/>
      <c r="G587" s="277"/>
      <c r="H587" s="277"/>
      <c r="I587" s="277"/>
      <c r="J587" s="277"/>
      <c r="K587" s="277"/>
      <c r="L587" s="277"/>
      <c r="M587" s="115"/>
    </row>
    <row r="588" spans="1:13" s="283" customFormat="1" ht="14.4" customHeight="1" outlineLevel="2" thickBot="1">
      <c r="A588" s="366"/>
      <c r="B588" s="367"/>
      <c r="C588" s="151" t="str">
        <f t="shared" si="9"/>
        <v>Evolution de l'équilibre offre-demande électricité</v>
      </c>
      <c r="D588" s="115"/>
      <c r="E588" s="627" t="s">
        <v>660</v>
      </c>
      <c r="F588" s="627"/>
      <c r="G588" s="627"/>
      <c r="H588" s="627"/>
      <c r="I588" s="627"/>
      <c r="J588" s="627"/>
      <c r="K588" s="627"/>
      <c r="L588" s="627"/>
      <c r="M588" s="115"/>
    </row>
    <row r="589" spans="1:13" s="283" customFormat="1" ht="14.4" customHeight="1" outlineLevel="3">
      <c r="A589" s="366"/>
      <c r="B589" s="367"/>
      <c r="C589" s="151" t="str">
        <f t="shared" si="9"/>
        <v>TWh</v>
      </c>
      <c r="D589" s="115"/>
      <c r="E589" s="459" t="s">
        <v>184</v>
      </c>
      <c r="F589" s="529">
        <v>2022</v>
      </c>
      <c r="G589" s="529">
        <v>2025</v>
      </c>
      <c r="H589" s="529">
        <v>2030</v>
      </c>
      <c r="I589" s="529">
        <v>2035</v>
      </c>
      <c r="J589" s="529">
        <v>2040</v>
      </c>
      <c r="K589" s="529">
        <v>2045</v>
      </c>
      <c r="L589" s="530">
        <v>2050</v>
      </c>
      <c r="M589" s="115"/>
    </row>
    <row r="590" spans="1:13" s="283" customFormat="1" ht="14.4" customHeight="1" outlineLevel="3">
      <c r="A590" s="366"/>
      <c r="B590" s="367"/>
      <c r="C590" s="151" t="str">
        <f t="shared" si="9"/>
        <v>Consommation d'électricité</v>
      </c>
      <c r="D590" s="115"/>
      <c r="E590" s="218" t="s">
        <v>659</v>
      </c>
      <c r="F590" s="212">
        <v>477.89929333670506</v>
      </c>
      <c r="G590" s="213">
        <v>494.72632377922685</v>
      </c>
      <c r="H590" s="213">
        <v>529.89223065517444</v>
      </c>
      <c r="I590" s="213">
        <v>585.39729131549518</v>
      </c>
      <c r="J590" s="213">
        <v>654.70486073659026</v>
      </c>
      <c r="K590" s="213">
        <v>707.55474749943789</v>
      </c>
      <c r="L590" s="521">
        <v>766.31890820503918</v>
      </c>
      <c r="M590" s="115"/>
    </row>
    <row r="591" spans="1:13" s="283" customFormat="1" ht="14.4" customHeight="1" outlineLevel="3">
      <c r="A591" s="366"/>
      <c r="B591" s="367"/>
      <c r="C591" s="151" t="str">
        <f t="shared" si="9"/>
        <v>Production d'électricité</v>
      </c>
      <c r="D591" s="115"/>
      <c r="E591" s="218" t="s">
        <v>13</v>
      </c>
      <c r="F591" s="212">
        <v>456.05244041496138</v>
      </c>
      <c r="G591" s="213">
        <v>588.61132473657858</v>
      </c>
      <c r="H591" s="213">
        <v>631.10418712764954</v>
      </c>
      <c r="I591" s="213">
        <v>676.82638667727235</v>
      </c>
      <c r="J591" s="213">
        <v>740.85415145899196</v>
      </c>
      <c r="K591" s="213">
        <v>716.57150087804234</v>
      </c>
      <c r="L591" s="521">
        <v>639.61582304365982</v>
      </c>
      <c r="M591" s="115"/>
    </row>
    <row r="592" spans="1:13" s="283" customFormat="1" ht="14.4" customHeight="1" outlineLevel="3">
      <c r="A592" s="366"/>
      <c r="B592" s="367"/>
      <c r="C592" s="151" t="str">
        <f t="shared" si="9"/>
        <v>Importations</v>
      </c>
      <c r="D592" s="115"/>
      <c r="E592" s="218" t="s">
        <v>203</v>
      </c>
      <c r="F592" s="212">
        <v>21.846852921743675</v>
      </c>
      <c r="G592" s="213">
        <v>0</v>
      </c>
      <c r="H592" s="213">
        <v>0</v>
      </c>
      <c r="I592" s="213">
        <v>0</v>
      </c>
      <c r="J592" s="213">
        <v>0</v>
      </c>
      <c r="K592" s="213">
        <v>0</v>
      </c>
      <c r="L592" s="521">
        <v>126.70308516137936</v>
      </c>
      <c r="M592" s="115"/>
    </row>
    <row r="593" spans="1:15" s="283" customFormat="1" ht="14.4" customHeight="1" outlineLevel="3" thickBot="1">
      <c r="A593" s="366"/>
      <c r="B593" s="367"/>
      <c r="C593" s="151" t="str">
        <f t="shared" si="9"/>
        <v>Exportations</v>
      </c>
      <c r="D593" s="115"/>
      <c r="E593" s="222" t="s">
        <v>204</v>
      </c>
      <c r="F593" s="522">
        <v>0</v>
      </c>
      <c r="G593" s="523">
        <v>93.885000957351735</v>
      </c>
      <c r="H593" s="523">
        <v>101.21195647247509</v>
      </c>
      <c r="I593" s="523">
        <v>91.429095361777172</v>
      </c>
      <c r="J593" s="523">
        <v>86.149290722401702</v>
      </c>
      <c r="K593" s="523">
        <v>9.0167533786044487</v>
      </c>
      <c r="L593" s="524">
        <v>0</v>
      </c>
      <c r="M593" s="115"/>
    </row>
    <row r="594" spans="1:15" s="283" customFormat="1" ht="14.4" customHeight="1" outlineLevel="2">
      <c r="A594" s="366"/>
      <c r="B594" s="367"/>
      <c r="C594" s="151" t="str">
        <f t="shared" si="9"/>
        <v/>
      </c>
      <c r="D594" s="115"/>
      <c r="E594" s="276"/>
      <c r="F594" s="277"/>
      <c r="G594" s="277"/>
      <c r="H594" s="382" t="s">
        <v>564</v>
      </c>
      <c r="I594" s="277"/>
      <c r="J594" s="277"/>
      <c r="K594" s="277"/>
      <c r="L594" s="277"/>
      <c r="M594" s="115"/>
    </row>
    <row r="595" spans="1:15" s="283" customFormat="1" ht="14.4" customHeight="1" outlineLevel="1">
      <c r="A595" s="366"/>
      <c r="B595" s="367"/>
      <c r="C595" s="151" t="str">
        <f t="shared" si="9"/>
        <v/>
      </c>
      <c r="D595" s="115"/>
      <c r="E595" s="276"/>
      <c r="F595" s="277"/>
      <c r="G595" s="277"/>
      <c r="H595" s="277"/>
      <c r="I595" s="277"/>
      <c r="J595" s="277"/>
      <c r="K595" s="277"/>
      <c r="L595" s="277"/>
      <c r="M595" s="115"/>
    </row>
    <row r="596" spans="1:15" ht="14.4" customHeight="1" outlineLevel="1">
      <c r="A596" s="366"/>
      <c r="B596" s="367"/>
      <c r="C596" s="151" t="str">
        <f t="shared" si="9"/>
        <v/>
      </c>
      <c r="D596" s="115"/>
      <c r="E596" s="115"/>
      <c r="F596" s="115"/>
      <c r="G596" s="115"/>
      <c r="H596" s="115"/>
      <c r="I596" s="115"/>
      <c r="J596" s="115"/>
      <c r="K596" s="115"/>
      <c r="L596" s="115"/>
      <c r="M596" s="115"/>
    </row>
    <row r="597" spans="1:15" s="283" customFormat="1" ht="25.95" customHeight="1" outlineLevel="1" thickBot="1">
      <c r="A597" s="366"/>
      <c r="B597" s="367"/>
      <c r="C597" s="151" t="str">
        <f t="shared" ref="C597:C664" si="10">IF(ISBLANK(E597),IF(ISBLANK(F597),"",F597),E597)</f>
        <v>Chaleur</v>
      </c>
      <c r="D597" s="371"/>
      <c r="E597" s="372"/>
      <c r="F597" s="635" t="s">
        <v>653</v>
      </c>
      <c r="G597" s="635"/>
      <c r="H597" s="635"/>
      <c r="I597" s="635"/>
      <c r="J597" s="635"/>
      <c r="K597" s="635"/>
      <c r="L597" s="635"/>
      <c r="M597" s="635"/>
    </row>
    <row r="598" spans="1:15" s="283" customFormat="1" ht="14.4" customHeight="1" outlineLevel="1" thickTop="1">
      <c r="A598" s="366"/>
      <c r="B598" s="367"/>
      <c r="C598" s="151" t="str">
        <f t="shared" si="10"/>
        <v/>
      </c>
      <c r="D598" s="275"/>
      <c r="E598" s="275"/>
      <c r="F598" s="275"/>
    </row>
    <row r="599" spans="1:15" s="283" customFormat="1" ht="14.4" customHeight="1" outlineLevel="1">
      <c r="A599" s="366"/>
      <c r="B599" s="367"/>
      <c r="C599" s="151" t="str">
        <f t="shared" si="10"/>
        <v/>
      </c>
      <c r="D599" s="115"/>
      <c r="E599" s="115"/>
      <c r="F599" s="115"/>
      <c r="G599" s="115"/>
      <c r="H599" s="115"/>
      <c r="I599" s="115"/>
      <c r="J599" s="115"/>
      <c r="K599" s="115"/>
      <c r="L599" s="115"/>
      <c r="M599" s="115"/>
    </row>
    <row r="600" spans="1:15" s="283" customFormat="1" ht="14.4" customHeight="1" outlineLevel="1">
      <c r="A600" s="366"/>
      <c r="B600" s="367"/>
      <c r="C600" s="151" t="str">
        <f t="shared" si="10"/>
        <v/>
      </c>
      <c r="D600" s="115"/>
      <c r="E600" s="276"/>
      <c r="F600" s="277"/>
      <c r="G600" s="277"/>
      <c r="H600" s="277"/>
      <c r="I600" s="277"/>
      <c r="J600" s="277"/>
      <c r="K600" s="277"/>
      <c r="L600" s="277"/>
      <c r="M600" s="115"/>
    </row>
    <row r="601" spans="1:15" s="283" customFormat="1" ht="14.4" customHeight="1" outlineLevel="1" thickBot="1">
      <c r="A601" s="366"/>
      <c r="B601" s="367"/>
      <c r="C601" s="151" t="str">
        <f t="shared" si="10"/>
        <v>Consommations de chaleur</v>
      </c>
      <c r="D601" s="115"/>
      <c r="E601" s="615" t="s">
        <v>856</v>
      </c>
      <c r="F601" s="615"/>
      <c r="G601" s="615"/>
      <c r="H601" s="615"/>
      <c r="I601" s="615"/>
      <c r="J601" s="615"/>
      <c r="K601" s="615"/>
      <c r="L601" s="615"/>
      <c r="M601" s="115"/>
    </row>
    <row r="602" spans="1:15" s="283" customFormat="1" ht="14.4" customHeight="1" outlineLevel="2">
      <c r="A602" s="366"/>
      <c r="B602" s="367"/>
      <c r="C602" s="151" t="str">
        <f t="shared" si="10"/>
        <v>TWhEf</v>
      </c>
      <c r="D602" s="115"/>
      <c r="E602" s="227" t="s">
        <v>644</v>
      </c>
      <c r="F602" s="254">
        <v>2022</v>
      </c>
      <c r="G602" s="254">
        <v>2025</v>
      </c>
      <c r="H602" s="254">
        <v>2030</v>
      </c>
      <c r="I602" s="254">
        <v>2035</v>
      </c>
      <c r="J602" s="254">
        <v>2040</v>
      </c>
      <c r="K602" s="254">
        <v>2045</v>
      </c>
      <c r="L602" s="255">
        <v>2050</v>
      </c>
      <c r="M602" s="115"/>
    </row>
    <row r="603" spans="1:15" s="283" customFormat="1" ht="14.4" customHeight="1" outlineLevel="2">
      <c r="A603" s="366"/>
      <c r="B603" s="367"/>
      <c r="C603" s="151" t="str">
        <f t="shared" si="10"/>
        <v>Résidentiel</v>
      </c>
      <c r="D603" s="115"/>
      <c r="E603" s="265" t="s">
        <v>221</v>
      </c>
      <c r="F603" s="212">
        <v>14.53</v>
      </c>
      <c r="G603" s="213">
        <v>14.54940755663384</v>
      </c>
      <c r="H603" s="213">
        <v>13.821854221077654</v>
      </c>
      <c r="I603" s="213">
        <v>13.012970281318445</v>
      </c>
      <c r="J603" s="213">
        <v>12.637872540367553</v>
      </c>
      <c r="K603" s="213">
        <v>12.305368304004968</v>
      </c>
      <c r="L603" s="213">
        <v>12.080206519208174</v>
      </c>
      <c r="M603" s="115"/>
    </row>
    <row r="604" spans="1:15" s="283" customFormat="1" ht="14.4" customHeight="1" outlineLevel="2">
      <c r="A604" s="366"/>
      <c r="B604" s="367"/>
      <c r="C604" s="151" t="str">
        <f t="shared" si="10"/>
        <v>Tertiaire</v>
      </c>
      <c r="D604" s="115"/>
      <c r="E604" s="265" t="s">
        <v>222</v>
      </c>
      <c r="F604" s="212">
        <v>9.7200000000000006</v>
      </c>
      <c r="G604" s="213">
        <v>9.6604899235531008</v>
      </c>
      <c r="H604" s="213">
        <v>9.5394292720354823</v>
      </c>
      <c r="I604" s="213">
        <v>9.2954491806436774</v>
      </c>
      <c r="J604" s="213">
        <v>9.0507655828821711</v>
      </c>
      <c r="K604" s="213">
        <v>8.5971904174677753</v>
      </c>
      <c r="L604" s="213">
        <v>8.1439847838984178</v>
      </c>
      <c r="M604" s="115"/>
    </row>
    <row r="605" spans="1:15" s="283" customFormat="1" ht="14.4" customHeight="1" outlineLevel="2">
      <c r="A605" s="366"/>
      <c r="B605" s="367"/>
      <c r="C605" s="151" t="str">
        <f t="shared" si="10"/>
        <v>Industrie</v>
      </c>
      <c r="D605" s="115"/>
      <c r="E605" s="265" t="s">
        <v>0</v>
      </c>
      <c r="F605" s="212">
        <v>21.843903427702035</v>
      </c>
      <c r="G605" s="213">
        <v>20.286263463714917</v>
      </c>
      <c r="H605" s="213">
        <v>19.106285469568391</v>
      </c>
      <c r="I605" s="213">
        <v>18.835297974660502</v>
      </c>
      <c r="J605" s="213">
        <v>18.55203699777983</v>
      </c>
      <c r="K605" s="213">
        <v>18.342146324065073</v>
      </c>
      <c r="L605" s="213">
        <v>18.188621561312811</v>
      </c>
      <c r="M605" s="115"/>
    </row>
    <row r="606" spans="1:15" s="283" customFormat="1" ht="14.4" customHeight="1" outlineLevel="2">
      <c r="A606" s="366"/>
      <c r="B606" s="367"/>
      <c r="C606" s="151" t="str">
        <f t="shared" si="10"/>
        <v>Agriculture</v>
      </c>
      <c r="D606" s="115"/>
      <c r="E606" s="265" t="s">
        <v>118</v>
      </c>
      <c r="F606" s="212">
        <v>0</v>
      </c>
      <c r="G606" s="213">
        <v>0</v>
      </c>
      <c r="H606" s="213">
        <v>0</v>
      </c>
      <c r="I606" s="213">
        <v>0</v>
      </c>
      <c r="J606" s="213">
        <v>0</v>
      </c>
      <c r="K606" s="213">
        <v>0</v>
      </c>
      <c r="L606" s="213">
        <v>0</v>
      </c>
      <c r="M606" s="115"/>
      <c r="O606" s="379"/>
    </row>
    <row r="607" spans="1:15" s="283" customFormat="1" ht="14.4" customHeight="1" outlineLevel="2">
      <c r="A607" s="366"/>
      <c r="B607" s="367"/>
      <c r="C607" s="151" t="str">
        <f t="shared" si="10"/>
        <v>Total, hors pertes, réseau de chaleur</v>
      </c>
      <c r="D607" s="115"/>
      <c r="E607" s="289" t="s">
        <v>654</v>
      </c>
      <c r="F607" s="132">
        <v>28.599999999999998</v>
      </c>
      <c r="G607" s="133">
        <v>26.935769851091624</v>
      </c>
      <c r="H607" s="133">
        <v>24.883444103123463</v>
      </c>
      <c r="I607" s="133">
        <v>23.536859035545238</v>
      </c>
      <c r="J607" s="133">
        <v>22.611081153214517</v>
      </c>
      <c r="K607" s="133">
        <v>21.594589756612823</v>
      </c>
      <c r="L607" s="133">
        <v>20.743435727127359</v>
      </c>
      <c r="M607" s="115"/>
    </row>
    <row r="608" spans="1:15" s="283" customFormat="1" ht="14.4" customHeight="1" outlineLevel="2">
      <c r="A608" s="366"/>
      <c r="B608" s="367"/>
      <c r="C608" s="151" t="str">
        <f t="shared" si="10"/>
        <v>Total, hors pertes, hors réseau de chaleur</v>
      </c>
      <c r="D608" s="115"/>
      <c r="E608" s="289" t="s">
        <v>655</v>
      </c>
      <c r="F608" s="132">
        <v>17.493903427702033</v>
      </c>
      <c r="G608" s="133">
        <v>17.560391092810232</v>
      </c>
      <c r="H608" s="133">
        <v>17.584124859558063</v>
      </c>
      <c r="I608" s="133">
        <v>17.606858401077385</v>
      </c>
      <c r="J608" s="133">
        <v>17.629593967815037</v>
      </c>
      <c r="K608" s="133">
        <v>17.65011528892499</v>
      </c>
      <c r="L608" s="133">
        <v>17.669377137292049</v>
      </c>
      <c r="M608" s="115"/>
    </row>
    <row r="609" spans="1:15" s="283" customFormat="1" ht="14.4" customHeight="1" outlineLevel="2">
      <c r="A609" s="366"/>
      <c r="B609" s="367"/>
      <c r="C609" s="151" t="str">
        <f t="shared" si="10"/>
        <v>Pertes estimées</v>
      </c>
      <c r="D609" s="115"/>
      <c r="E609" s="265" t="s">
        <v>651</v>
      </c>
      <c r="F609" s="212">
        <v>3.8795507922979673</v>
      </c>
      <c r="G609" s="213">
        <v>3.7421628092821462</v>
      </c>
      <c r="H609" s="213">
        <v>3.5719524036112125</v>
      </c>
      <c r="I609" s="213">
        <v>3.4609322809429122</v>
      </c>
      <c r="J609" s="213">
        <v>3.385260148837872</v>
      </c>
      <c r="K609" s="213">
        <v>3.3017643428666386</v>
      </c>
      <c r="L609" s="213">
        <v>3.2320410237374189</v>
      </c>
      <c r="M609" s="115"/>
    </row>
    <row r="610" spans="1:15" s="283" customFormat="1" ht="14.4" customHeight="1" outlineLevel="2">
      <c r="A610" s="366"/>
      <c r="B610" s="367"/>
      <c r="C610" s="151" t="str">
        <f t="shared" si="10"/>
        <v>Total chaleur réseau, pertes incluses</v>
      </c>
      <c r="D610" s="115"/>
      <c r="E610" s="289" t="s">
        <v>656</v>
      </c>
      <c r="F610" s="132">
        <v>32.479550792297964</v>
      </c>
      <c r="G610" s="133">
        <v>30.67793266037377</v>
      </c>
      <c r="H610" s="133">
        <v>28.455396506734676</v>
      </c>
      <c r="I610" s="133">
        <v>26.997791316488151</v>
      </c>
      <c r="J610" s="133">
        <v>25.996341302052389</v>
      </c>
      <c r="K610" s="133">
        <v>24.89635409947946</v>
      </c>
      <c r="L610" s="133">
        <v>23.975476750864779</v>
      </c>
      <c r="M610" s="115"/>
    </row>
    <row r="611" spans="1:15" s="283" customFormat="1" ht="14.4" customHeight="1" outlineLevel="2">
      <c r="A611" s="366"/>
      <c r="B611" s="367"/>
      <c r="C611" s="151" t="str">
        <f t="shared" si="10"/>
        <v>Total chaleur, pertes incluses</v>
      </c>
      <c r="D611" s="115"/>
      <c r="E611" s="289" t="s">
        <v>657</v>
      </c>
      <c r="F611" s="132">
        <v>49.973454220000001</v>
      </c>
      <c r="G611" s="133">
        <v>48.238323753184005</v>
      </c>
      <c r="H611" s="133">
        <v>46.039521366292739</v>
      </c>
      <c r="I611" s="133">
        <v>44.604649717565536</v>
      </c>
      <c r="J611" s="133">
        <v>43.625935269867426</v>
      </c>
      <c r="K611" s="133">
        <v>42.546469388404454</v>
      </c>
      <c r="L611" s="133">
        <v>41.644853888156824</v>
      </c>
      <c r="M611" s="115"/>
    </row>
    <row r="612" spans="1:15" s="283" customFormat="1" ht="14.4" customHeight="1" outlineLevel="2">
      <c r="A612" s="366"/>
      <c r="B612" s="367"/>
      <c r="C612" s="151" t="str">
        <f t="shared" si="10"/>
        <v/>
      </c>
      <c r="D612" s="115"/>
      <c r="E612" s="115"/>
      <c r="F612" s="115"/>
      <c r="G612" s="115"/>
      <c r="H612" s="382" t="s">
        <v>564</v>
      </c>
      <c r="I612" s="115"/>
      <c r="J612" s="115"/>
      <c r="K612" s="115"/>
      <c r="L612" s="115"/>
      <c r="M612" s="115"/>
    </row>
    <row r="613" spans="1:15" s="283" customFormat="1" ht="14.4" customHeight="1" outlineLevel="1">
      <c r="A613" s="366"/>
      <c r="B613" s="367"/>
      <c r="C613" s="151" t="str">
        <f t="shared" si="10"/>
        <v/>
      </c>
      <c r="D613" s="115"/>
      <c r="E613" s="115"/>
      <c r="F613" s="115"/>
      <c r="G613" s="115"/>
      <c r="H613" s="115"/>
      <c r="I613" s="115"/>
      <c r="J613" s="115"/>
      <c r="K613" s="115"/>
      <c r="L613" s="115"/>
      <c r="M613" s="115"/>
    </row>
    <row r="614" spans="1:15" s="283" customFormat="1" ht="14.4" customHeight="1" outlineLevel="1" thickBot="1">
      <c r="A614" s="366"/>
      <c r="B614" s="367"/>
      <c r="C614" s="151" t="str">
        <f>IF(ISBLANK(E614),IF(ISBLANK(F614),"",F614),E614)</f>
        <v>Production de chaleur</v>
      </c>
      <c r="D614" s="115"/>
      <c r="E614" s="627" t="s">
        <v>210</v>
      </c>
      <c r="F614" s="627"/>
      <c r="G614" s="627"/>
      <c r="H614" s="627"/>
      <c r="I614" s="627"/>
      <c r="J614" s="627"/>
      <c r="K614" s="627"/>
      <c r="L614" s="627"/>
      <c r="M614" s="115"/>
    </row>
    <row r="615" spans="1:15" s="283" customFormat="1" ht="14.4" customHeight="1" outlineLevel="2">
      <c r="A615" s="366"/>
      <c r="B615" s="367"/>
      <c r="C615" s="151" t="str">
        <f t="shared" ref="C615:C626" si="11">IF(ISBLANK(E615),IF(ISBLANK(F615),"",F615),E615)</f>
        <v>TWhEf</v>
      </c>
      <c r="D615" s="115"/>
      <c r="E615" s="459" t="s">
        <v>644</v>
      </c>
      <c r="F615" s="529">
        <v>2022</v>
      </c>
      <c r="G615" s="529">
        <v>2025</v>
      </c>
      <c r="H615" s="529">
        <v>2030</v>
      </c>
      <c r="I615" s="529">
        <v>2035</v>
      </c>
      <c r="J615" s="529">
        <v>2040</v>
      </c>
      <c r="K615" s="529">
        <v>2045</v>
      </c>
      <c r="L615" s="530">
        <v>2050</v>
      </c>
      <c r="M615" s="115"/>
    </row>
    <row r="616" spans="1:15" s="283" customFormat="1" ht="14.4" customHeight="1" outlineLevel="2">
      <c r="A616" s="366"/>
      <c r="B616" s="367"/>
      <c r="C616" s="151"/>
      <c r="D616" s="115"/>
      <c r="E616" s="218" t="s">
        <v>185</v>
      </c>
      <c r="F616" s="212">
        <v>0.68689101636528149</v>
      </c>
      <c r="G616" s="213">
        <v>8.5000000000000006E-2</v>
      </c>
      <c r="H616" s="213">
        <v>0</v>
      </c>
      <c r="I616" s="213">
        <v>0</v>
      </c>
      <c r="J616" s="213">
        <v>0</v>
      </c>
      <c r="K616" s="213">
        <v>0</v>
      </c>
      <c r="L616" s="521">
        <v>0</v>
      </c>
      <c r="M616" s="115"/>
    </row>
    <row r="617" spans="1:15" s="283" customFormat="1" ht="14.4" customHeight="1" outlineLevel="2">
      <c r="A617" s="366"/>
      <c r="B617" s="367"/>
      <c r="C617" s="151"/>
      <c r="D617" s="115"/>
      <c r="E617" s="218" t="s">
        <v>280</v>
      </c>
      <c r="F617" s="212">
        <v>0.10148092551276178</v>
      </c>
      <c r="G617" s="213">
        <v>0</v>
      </c>
      <c r="H617" s="213">
        <v>0</v>
      </c>
      <c r="I617" s="213">
        <v>0</v>
      </c>
      <c r="J617" s="213">
        <v>0</v>
      </c>
      <c r="K617" s="213">
        <v>0</v>
      </c>
      <c r="L617" s="521">
        <v>0</v>
      </c>
      <c r="M617" s="115"/>
    </row>
    <row r="618" spans="1:15" s="283" customFormat="1" ht="14.4" customHeight="1" outlineLevel="2">
      <c r="A618" s="366"/>
      <c r="B618" s="367"/>
      <c r="C618" s="151" t="str">
        <f t="shared" si="11"/>
        <v>Gaz réseau</v>
      </c>
      <c r="D618" s="115"/>
      <c r="E618" s="218" t="s">
        <v>777</v>
      </c>
      <c r="F618" s="212">
        <v>18.695655592406123</v>
      </c>
      <c r="G618" s="213">
        <v>17.802423051539773</v>
      </c>
      <c r="H618" s="213">
        <v>16.411825455332256</v>
      </c>
      <c r="I618" s="213">
        <v>15.901503019856881</v>
      </c>
      <c r="J618" s="213">
        <v>15.550834933837255</v>
      </c>
      <c r="K618" s="213">
        <v>15.165706125472258</v>
      </c>
      <c r="L618" s="521">
        <v>14.84328468651335</v>
      </c>
      <c r="M618" s="115"/>
    </row>
    <row r="619" spans="1:15" s="283" customFormat="1" ht="14.4" customHeight="1" outlineLevel="2">
      <c r="A619" s="366"/>
      <c r="B619" s="367"/>
      <c r="C619" s="151" t="str">
        <f t="shared" si="11"/>
        <v>Gaz naturel</v>
      </c>
      <c r="D619" s="115"/>
      <c r="E619" s="218" t="s">
        <v>189</v>
      </c>
      <c r="F619" s="212">
        <v>16.166739682938832</v>
      </c>
      <c r="G619" s="213">
        <v>15.194161820381957</v>
      </c>
      <c r="H619" s="213">
        <v>14.006094203587185</v>
      </c>
      <c r="I619" s="213">
        <v>13.569790407645327</v>
      </c>
      <c r="J619" s="213">
        <v>13.269831337858268</v>
      </c>
      <c r="K619" s="213">
        <v>12.940480400024706</v>
      </c>
      <c r="L619" s="521">
        <v>12.664700025700789</v>
      </c>
      <c r="M619" s="115"/>
      <c r="O619" s="379"/>
    </row>
    <row r="620" spans="1:15" s="283" customFormat="1" ht="14.4" customHeight="1" outlineLevel="2">
      <c r="A620" s="366"/>
      <c r="B620" s="367"/>
      <c r="C620" s="151" t="str">
        <f t="shared" si="11"/>
        <v>Gaz renouvelable</v>
      </c>
      <c r="D620" s="115"/>
      <c r="E620" s="218" t="s">
        <v>199</v>
      </c>
      <c r="F620" s="212">
        <v>2.5289159094672904</v>
      </c>
      <c r="G620" s="213">
        <v>2.6082612311578144</v>
      </c>
      <c r="H620" s="213">
        <v>2.4057312517450677</v>
      </c>
      <c r="I620" s="213">
        <v>2.331712612211553</v>
      </c>
      <c r="J620" s="213">
        <v>2.2810035959789872</v>
      </c>
      <c r="K620" s="213">
        <v>2.2252257254475523</v>
      </c>
      <c r="L620" s="521">
        <v>2.178584660812561</v>
      </c>
      <c r="M620" s="115"/>
    </row>
    <row r="621" spans="1:15" s="283" customFormat="1" ht="14.4" customHeight="1" outlineLevel="2">
      <c r="A621" s="366"/>
      <c r="B621" s="367"/>
      <c r="C621" s="151" t="str">
        <f t="shared" si="11"/>
        <v>Biomasse solide</v>
      </c>
      <c r="D621" s="115"/>
      <c r="E621" s="218" t="s">
        <v>197</v>
      </c>
      <c r="F621" s="212">
        <v>12.677308266468138</v>
      </c>
      <c r="G621" s="213">
        <v>12.900108244825592</v>
      </c>
      <c r="H621" s="213">
        <v>12.632440464371498</v>
      </c>
      <c r="I621" s="213">
        <v>12.264463697729822</v>
      </c>
      <c r="J621" s="213">
        <v>12.019653047939642</v>
      </c>
      <c r="K621" s="213">
        <v>11.746179078654379</v>
      </c>
      <c r="L621" s="521">
        <v>11.520020201442955</v>
      </c>
      <c r="M621" s="115"/>
    </row>
    <row r="622" spans="1:15" s="283" customFormat="1" ht="14.4" customHeight="1" outlineLevel="2">
      <c r="A622" s="366"/>
      <c r="B622" s="367"/>
      <c r="C622" s="151" t="str">
        <f t="shared" si="11"/>
        <v>Déchets</v>
      </c>
      <c r="D622" s="115"/>
      <c r="E622" s="218" t="s">
        <v>24</v>
      </c>
      <c r="F622" s="212">
        <v>14.157079726535855</v>
      </c>
      <c r="G622" s="213">
        <v>14.06664861038916</v>
      </c>
      <c r="H622" s="213">
        <v>13.79049602233575</v>
      </c>
      <c r="I622" s="213">
        <v>13.352586558359311</v>
      </c>
      <c r="J622" s="213">
        <v>13.05152359102536</v>
      </c>
      <c r="K622" s="213">
        <v>12.72096058885049</v>
      </c>
      <c r="L622" s="521">
        <v>12.444165298461815</v>
      </c>
      <c r="M622" s="115"/>
    </row>
    <row r="623" spans="1:15" s="283" customFormat="1" ht="14.4" customHeight="1" outlineLevel="2">
      <c r="A623" s="366"/>
      <c r="B623" s="367"/>
      <c r="C623" s="151" t="str">
        <f t="shared" si="11"/>
        <v>Solaire thermique et géothermie</v>
      </c>
      <c r="D623" s="115"/>
      <c r="E623" s="218" t="s">
        <v>201</v>
      </c>
      <c r="F623" s="212">
        <v>2.9575912639124975</v>
      </c>
      <c r="G623" s="213">
        <v>2.7716447371964952</v>
      </c>
      <c r="H623" s="213">
        <v>2.6367559393014384</v>
      </c>
      <c r="I623" s="213">
        <v>2.5472880723456015</v>
      </c>
      <c r="J623" s="213">
        <v>2.4851873437955581</v>
      </c>
      <c r="K623" s="213">
        <v>2.4169258150095239</v>
      </c>
      <c r="L623" s="521">
        <v>2.3591399162684685</v>
      </c>
      <c r="M623" s="115"/>
    </row>
    <row r="624" spans="1:15" s="283" customFormat="1" ht="14.4" customHeight="1" outlineLevel="2">
      <c r="A624" s="366"/>
      <c r="B624" s="367"/>
      <c r="C624" s="151" t="str">
        <f t="shared" si="11"/>
        <v>Chaleur fatale</v>
      </c>
      <c r="D624" s="115"/>
      <c r="E624" s="531" t="s">
        <v>857</v>
      </c>
      <c r="F624" s="397">
        <v>0.69747261470735367</v>
      </c>
      <c r="G624" s="398">
        <v>0.61252749037166643</v>
      </c>
      <c r="H624" s="398">
        <v>0.56803306815571675</v>
      </c>
      <c r="I624" s="398">
        <v>0.53883910389062084</v>
      </c>
      <c r="J624" s="398">
        <v>0.5187682394016907</v>
      </c>
      <c r="K624" s="398">
        <v>0.4967307059233661</v>
      </c>
      <c r="L624" s="532">
        <v>0.47827768656412106</v>
      </c>
      <c r="M624" s="115"/>
    </row>
    <row r="625" spans="1:13" s="283" customFormat="1" ht="14.4" customHeight="1" outlineLevel="2" thickBot="1">
      <c r="A625" s="366"/>
      <c r="B625" s="367"/>
      <c r="C625" s="151" t="str">
        <f t="shared" si="11"/>
        <v>Total</v>
      </c>
      <c r="D625" s="115"/>
      <c r="E625" s="533" t="s">
        <v>144</v>
      </c>
      <c r="F625" s="534">
        <v>49.973479405908009</v>
      </c>
      <c r="G625" s="535">
        <v>48.238352134322689</v>
      </c>
      <c r="H625" s="535">
        <v>46.039550949496657</v>
      </c>
      <c r="I625" s="535">
        <v>44.604680452182237</v>
      </c>
      <c r="J625" s="535">
        <v>43.625967155999504</v>
      </c>
      <c r="K625" s="535">
        <v>42.546502313910025</v>
      </c>
      <c r="L625" s="536">
        <v>41.644887789250703</v>
      </c>
      <c r="M625" s="115"/>
    </row>
    <row r="626" spans="1:13" s="283" customFormat="1" ht="14.4" customHeight="1" outlineLevel="1">
      <c r="A626" s="366"/>
      <c r="B626" s="367"/>
      <c r="C626" s="151" t="str">
        <f t="shared" si="11"/>
        <v/>
      </c>
      <c r="D626" s="115"/>
      <c r="E626" s="115"/>
      <c r="F626" s="115"/>
      <c r="G626" s="115"/>
      <c r="H626" s="382" t="s">
        <v>564</v>
      </c>
      <c r="I626" s="115"/>
      <c r="J626" s="115"/>
      <c r="K626" s="115"/>
      <c r="L626" s="115"/>
      <c r="M626" s="115"/>
    </row>
    <row r="627" spans="1:13" s="399" customFormat="1" ht="14.4" customHeight="1" outlineLevel="1">
      <c r="A627" s="366"/>
      <c r="B627" s="367"/>
      <c r="C627" s="151"/>
      <c r="D627" s="115"/>
      <c r="E627" s="115"/>
      <c r="F627" s="115"/>
      <c r="G627" s="115"/>
      <c r="H627" s="115"/>
      <c r="I627" s="115"/>
      <c r="J627" s="115"/>
      <c r="K627" s="115"/>
      <c r="L627" s="115"/>
      <c r="M627" s="115"/>
    </row>
    <row r="628" spans="1:13" s="283" customFormat="1" ht="25.2" customHeight="1" outlineLevel="1" thickBot="1">
      <c r="A628" s="366"/>
      <c r="B628" s="367"/>
      <c r="C628" s="151" t="str">
        <f t="shared" si="10"/>
        <v>Charbon</v>
      </c>
      <c r="D628" s="371"/>
      <c r="E628" s="372"/>
      <c r="F628" s="635" t="s">
        <v>185</v>
      </c>
      <c r="G628" s="635"/>
      <c r="H628" s="635"/>
      <c r="I628" s="635"/>
      <c r="J628" s="635"/>
      <c r="K628" s="635"/>
      <c r="L628" s="635"/>
      <c r="M628" s="635"/>
    </row>
    <row r="629" spans="1:13" s="283" customFormat="1" ht="14.4" customHeight="1" outlineLevel="1" thickTop="1">
      <c r="A629" s="366"/>
      <c r="B629" s="367"/>
      <c r="C629" s="151" t="str">
        <f t="shared" si="10"/>
        <v/>
      </c>
      <c r="D629" s="275"/>
      <c r="E629" s="275"/>
      <c r="F629" s="275"/>
    </row>
    <row r="630" spans="1:13" s="283" customFormat="1" ht="14.4" customHeight="1" outlineLevel="1">
      <c r="A630" s="366"/>
      <c r="B630" s="367"/>
      <c r="C630" s="151" t="str">
        <f t="shared" si="10"/>
        <v/>
      </c>
      <c r="D630" s="115"/>
      <c r="E630" s="115"/>
      <c r="F630" s="115"/>
      <c r="G630" s="115"/>
      <c r="H630" s="115"/>
      <c r="I630" s="115"/>
      <c r="J630" s="115"/>
      <c r="K630" s="115"/>
      <c r="L630" s="115"/>
      <c r="M630" s="115"/>
    </row>
    <row r="631" spans="1:13" s="283" customFormat="1" ht="14.4" customHeight="1" outlineLevel="1" thickBot="1">
      <c r="A631" s="366"/>
      <c r="B631" s="367"/>
      <c r="C631" s="151" t="str">
        <f t="shared" si="10"/>
        <v>Evolution de l'équilibre offre-demande charbon</v>
      </c>
      <c r="D631" s="115"/>
      <c r="E631" s="615" t="s">
        <v>663</v>
      </c>
      <c r="F631" s="615"/>
      <c r="G631" s="615"/>
      <c r="H631" s="615"/>
      <c r="I631" s="615"/>
      <c r="J631" s="615"/>
      <c r="K631" s="615"/>
      <c r="L631" s="615"/>
      <c r="M631" s="115"/>
    </row>
    <row r="632" spans="1:13" s="283" customFormat="1" ht="14.4" customHeight="1" outlineLevel="2">
      <c r="A632" s="366"/>
      <c r="B632" s="367"/>
      <c r="C632" s="151" t="str">
        <f t="shared" si="10"/>
        <v>TWh</v>
      </c>
      <c r="D632" s="115"/>
      <c r="E632" s="227" t="s">
        <v>184</v>
      </c>
      <c r="F632" s="254">
        <v>2021</v>
      </c>
      <c r="G632" s="254">
        <v>2025</v>
      </c>
      <c r="H632" s="254">
        <v>2030</v>
      </c>
      <c r="I632" s="254">
        <v>2035</v>
      </c>
      <c r="J632" s="254">
        <v>2040</v>
      </c>
      <c r="K632" s="254">
        <v>2045</v>
      </c>
      <c r="L632" s="255">
        <v>2050</v>
      </c>
      <c r="M632" s="115"/>
    </row>
    <row r="633" spans="1:13" s="283" customFormat="1" ht="14.4" customHeight="1" outlineLevel="2">
      <c r="A633" s="366"/>
      <c r="B633" s="367"/>
      <c r="C633" s="151" t="str">
        <f t="shared" si="10"/>
        <v>Consommation de charbon</v>
      </c>
      <c r="D633" s="115"/>
      <c r="E633" s="265" t="s">
        <v>661</v>
      </c>
      <c r="F633" s="212">
        <v>68.414856260077002</v>
      </c>
      <c r="G633" s="213">
        <v>52.438729538481049</v>
      </c>
      <c r="H633" s="213">
        <v>31.639467088723435</v>
      </c>
      <c r="I633" s="213">
        <v>31.988388915170795</v>
      </c>
      <c r="J633" s="213">
        <v>32.201210281725054</v>
      </c>
      <c r="K633" s="213">
        <v>32.304837547387784</v>
      </c>
      <c r="L633" s="213">
        <v>32.232095217999408</v>
      </c>
      <c r="M633" s="115"/>
    </row>
    <row r="634" spans="1:13" s="283" customFormat="1" ht="14.4" customHeight="1" outlineLevel="2">
      <c r="A634" s="366"/>
      <c r="B634" s="367"/>
      <c r="C634" s="151" t="str">
        <f t="shared" si="10"/>
        <v>Production primaire de charbon</v>
      </c>
      <c r="D634" s="115"/>
      <c r="E634" s="265" t="s">
        <v>662</v>
      </c>
      <c r="F634" s="212">
        <v>0</v>
      </c>
      <c r="G634" s="213">
        <v>0</v>
      </c>
      <c r="H634" s="213">
        <v>0</v>
      </c>
      <c r="I634" s="213">
        <v>0</v>
      </c>
      <c r="J634" s="213">
        <v>0</v>
      </c>
      <c r="K634" s="213">
        <v>0</v>
      </c>
      <c r="L634" s="213">
        <v>0</v>
      </c>
      <c r="M634" s="115"/>
    </row>
    <row r="635" spans="1:13" s="283" customFormat="1" ht="14.4" customHeight="1" outlineLevel="2">
      <c r="A635" s="366"/>
      <c r="B635" s="367"/>
      <c r="C635" s="151" t="str">
        <f t="shared" si="10"/>
        <v>Importations</v>
      </c>
      <c r="D635" s="115"/>
      <c r="E635" s="265" t="s">
        <v>203</v>
      </c>
      <c r="F635" s="212">
        <v>68.414856260077002</v>
      </c>
      <c r="G635" s="213">
        <v>52.438729538481049</v>
      </c>
      <c r="H635" s="213">
        <v>31.639467088723435</v>
      </c>
      <c r="I635" s="213">
        <v>31.988388915170795</v>
      </c>
      <c r="J635" s="213">
        <v>32.201210281725054</v>
      </c>
      <c r="K635" s="213">
        <v>32.304837547387784</v>
      </c>
      <c r="L635" s="213">
        <v>32.232095217999408</v>
      </c>
      <c r="M635" s="115"/>
    </row>
    <row r="636" spans="1:13" s="283" customFormat="1" ht="14.4" customHeight="1" outlineLevel="2">
      <c r="A636" s="366"/>
      <c r="B636" s="367"/>
      <c r="C636" s="151" t="str">
        <f t="shared" si="10"/>
        <v>Exportations</v>
      </c>
      <c r="D636" s="115"/>
      <c r="E636" s="265" t="s">
        <v>204</v>
      </c>
      <c r="F636" s="212">
        <v>0</v>
      </c>
      <c r="G636" s="213">
        <v>0</v>
      </c>
      <c r="H636" s="213">
        <v>0</v>
      </c>
      <c r="I636" s="213">
        <v>0</v>
      </c>
      <c r="J636" s="213">
        <v>0</v>
      </c>
      <c r="K636" s="213">
        <v>0</v>
      </c>
      <c r="L636" s="213">
        <v>0</v>
      </c>
      <c r="M636" s="115"/>
    </row>
    <row r="637" spans="1:13" s="283" customFormat="1" ht="14.4" customHeight="1" outlineLevel="2">
      <c r="A637" s="366"/>
      <c r="B637" s="367"/>
      <c r="C637" s="151" t="str">
        <f t="shared" si="10"/>
        <v/>
      </c>
      <c r="D637" s="115"/>
      <c r="E637" s="115"/>
      <c r="F637" s="115"/>
      <c r="G637" s="115"/>
      <c r="H637" s="382" t="s">
        <v>564</v>
      </c>
      <c r="I637" s="115"/>
      <c r="J637" s="115"/>
      <c r="K637" s="115"/>
      <c r="L637" s="115"/>
      <c r="M637" s="115"/>
    </row>
    <row r="638" spans="1:13" s="283" customFormat="1" ht="14.4" customHeight="1" outlineLevel="1">
      <c r="A638" s="366"/>
      <c r="B638" s="367"/>
      <c r="C638" s="151" t="str">
        <f t="shared" si="10"/>
        <v/>
      </c>
      <c r="D638" s="115"/>
      <c r="E638" s="115"/>
      <c r="F638" s="115"/>
      <c r="G638" s="115"/>
      <c r="H638" s="115"/>
      <c r="I638" s="115"/>
      <c r="J638" s="115"/>
      <c r="K638" s="115"/>
      <c r="L638" s="115"/>
      <c r="M638" s="115"/>
    </row>
    <row r="639" spans="1:13" s="283" customFormat="1" ht="29.4" customHeight="1" outlineLevel="1" thickBot="1">
      <c r="A639" s="366"/>
      <c r="B639" s="367"/>
      <c r="C639" s="151" t="str">
        <f t="shared" si="10"/>
        <v>Pétrole brut</v>
      </c>
      <c r="D639" s="371"/>
      <c r="E639" s="372"/>
      <c r="F639" s="635" t="s">
        <v>186</v>
      </c>
      <c r="G639" s="635"/>
      <c r="H639" s="635"/>
      <c r="I639" s="635"/>
      <c r="J639" s="635"/>
      <c r="K639" s="635"/>
      <c r="L639" s="635"/>
      <c r="M639" s="635"/>
    </row>
    <row r="640" spans="1:13" s="283" customFormat="1" ht="14.4" customHeight="1" outlineLevel="1" thickTop="1">
      <c r="A640" s="366"/>
      <c r="B640" s="367"/>
      <c r="C640" s="151" t="str">
        <f t="shared" si="10"/>
        <v/>
      </c>
      <c r="D640" s="275"/>
      <c r="E640" s="275"/>
      <c r="F640" s="275"/>
    </row>
    <row r="641" spans="1:13" s="283" customFormat="1" ht="14.4" customHeight="1" outlineLevel="1">
      <c r="A641" s="366"/>
      <c r="B641" s="367"/>
      <c r="C641" s="151" t="str">
        <f t="shared" si="10"/>
        <v/>
      </c>
      <c r="D641" s="115"/>
      <c r="E641" s="115"/>
      <c r="F641" s="115"/>
      <c r="G641" s="115"/>
      <c r="H641" s="115"/>
      <c r="I641" s="115"/>
      <c r="J641" s="115"/>
      <c r="K641" s="115"/>
      <c r="L641" s="115"/>
      <c r="M641" s="115"/>
    </row>
    <row r="642" spans="1:13" s="283" customFormat="1" ht="14.4" customHeight="1" outlineLevel="1" thickBot="1">
      <c r="A642" s="366"/>
      <c r="B642" s="367"/>
      <c r="C642" s="151" t="str">
        <f t="shared" si="10"/>
        <v>Evolution de l'équilibre offre-demande de pétrole brut</v>
      </c>
      <c r="D642" s="115"/>
      <c r="E642" s="615" t="s">
        <v>673</v>
      </c>
      <c r="F642" s="615"/>
      <c r="G642" s="615"/>
      <c r="H642" s="615"/>
      <c r="I642" s="615"/>
      <c r="J642" s="615"/>
      <c r="K642" s="615"/>
      <c r="L642" s="615"/>
      <c r="M642" s="115"/>
    </row>
    <row r="643" spans="1:13" s="283" customFormat="1" ht="14.4" customHeight="1" outlineLevel="2">
      <c r="A643" s="366"/>
      <c r="B643" s="367"/>
      <c r="C643" s="151" t="str">
        <f t="shared" si="10"/>
        <v>TWh</v>
      </c>
      <c r="D643" s="115"/>
      <c r="E643" s="227" t="s">
        <v>184</v>
      </c>
      <c r="F643" s="254">
        <v>2021</v>
      </c>
      <c r="G643" s="254">
        <v>2025</v>
      </c>
      <c r="H643" s="254">
        <v>2030</v>
      </c>
      <c r="I643" s="254">
        <v>2035</v>
      </c>
      <c r="J643" s="254">
        <v>2040</v>
      </c>
      <c r="K643" s="254">
        <v>2045</v>
      </c>
      <c r="L643" s="255">
        <v>2050</v>
      </c>
      <c r="M643" s="115"/>
    </row>
    <row r="644" spans="1:13" s="283" customFormat="1" ht="14.4" customHeight="1" outlineLevel="2">
      <c r="A644" s="366"/>
      <c r="B644" s="367"/>
      <c r="C644" s="151" t="str">
        <f t="shared" si="10"/>
        <v>Consommation de pétrole brut</v>
      </c>
      <c r="D644" s="115"/>
      <c r="E644" s="265" t="s">
        <v>664</v>
      </c>
      <c r="F644" s="212">
        <v>506.62562588298869</v>
      </c>
      <c r="G644" s="213">
        <v>484.14056447635386</v>
      </c>
      <c r="H644" s="213">
        <v>483.35134663665627</v>
      </c>
      <c r="I644" s="213">
        <v>482.60274690698844</v>
      </c>
      <c r="J644" s="213">
        <v>481.81867590035193</v>
      </c>
      <c r="K644" s="213">
        <v>400.25459496959166</v>
      </c>
      <c r="L644" s="213">
        <v>332.52531780370316</v>
      </c>
      <c r="M644" s="115"/>
    </row>
    <row r="645" spans="1:13" s="283" customFormat="1" ht="14.4" customHeight="1" outlineLevel="2">
      <c r="A645" s="366"/>
      <c r="B645" s="367"/>
      <c r="C645" s="151" t="str">
        <f t="shared" si="10"/>
        <v>Production primaire de pétrole brut</v>
      </c>
      <c r="D645" s="115"/>
      <c r="E645" s="265" t="s">
        <v>665</v>
      </c>
      <c r="F645" s="212">
        <v>9.5366</v>
      </c>
      <c r="G645" s="213">
        <v>9.5366</v>
      </c>
      <c r="H645" s="213">
        <v>9.5366</v>
      </c>
      <c r="I645" s="213">
        <v>4.7683</v>
      </c>
      <c r="J645" s="213">
        <v>0</v>
      </c>
      <c r="K645" s="213">
        <v>0</v>
      </c>
      <c r="L645" s="213">
        <v>0</v>
      </c>
      <c r="M645" s="115"/>
    </row>
    <row r="646" spans="1:13" s="283" customFormat="1" ht="14.4" customHeight="1" outlineLevel="2">
      <c r="A646" s="366"/>
      <c r="B646" s="367"/>
      <c r="C646" s="151" t="str">
        <f t="shared" si="10"/>
        <v>Transferts de pétrole brut</v>
      </c>
      <c r="D646" s="115"/>
      <c r="E646" s="265" t="s">
        <v>666</v>
      </c>
      <c r="F646" s="212">
        <v>17.180396847481834</v>
      </c>
      <c r="G646" s="213">
        <v>16.168833799981307</v>
      </c>
      <c r="H646" s="213">
        <v>16.241014625896824</v>
      </c>
      <c r="I646" s="213">
        <v>16.309480572875749</v>
      </c>
      <c r="J646" s="213">
        <v>16.381190676206817</v>
      </c>
      <c r="K646" s="213">
        <v>13.622099377139824</v>
      </c>
      <c r="L646" s="213">
        <v>11.310791080769068</v>
      </c>
      <c r="M646" s="115"/>
    </row>
    <row r="647" spans="1:13" s="283" customFormat="1" ht="14.4" customHeight="1" outlineLevel="2">
      <c r="A647" s="366"/>
      <c r="B647" s="367"/>
      <c r="C647" s="151" t="str">
        <f t="shared" si="10"/>
        <v>Importations</v>
      </c>
      <c r="D647" s="115"/>
      <c r="E647" s="265" t="s">
        <v>203</v>
      </c>
      <c r="F647" s="212">
        <v>479.90862903550681</v>
      </c>
      <c r="G647" s="213">
        <v>458.43513067637252</v>
      </c>
      <c r="H647" s="213">
        <v>457.57373201075944</v>
      </c>
      <c r="I647" s="213">
        <v>461.52496633411266</v>
      </c>
      <c r="J647" s="213">
        <v>465.43748522414512</v>
      </c>
      <c r="K647" s="213">
        <v>386.63249559245185</v>
      </c>
      <c r="L647" s="213">
        <v>321.21452672293407</v>
      </c>
      <c r="M647" s="115"/>
    </row>
    <row r="648" spans="1:13" ht="14.4" customHeight="1" outlineLevel="2">
      <c r="A648" s="366"/>
      <c r="B648" s="367"/>
      <c r="C648" s="151" t="str">
        <f t="shared" si="10"/>
        <v>Exportations</v>
      </c>
      <c r="D648" s="115"/>
      <c r="E648" s="265" t="s">
        <v>204</v>
      </c>
      <c r="F648" s="212">
        <v>0</v>
      </c>
      <c r="G648" s="213">
        <v>0</v>
      </c>
      <c r="H648" s="213">
        <v>0</v>
      </c>
      <c r="I648" s="213">
        <v>0</v>
      </c>
      <c r="J648" s="213">
        <v>0</v>
      </c>
      <c r="K648" s="213">
        <v>0</v>
      </c>
      <c r="L648" s="213">
        <v>0</v>
      </c>
      <c r="M648" s="115"/>
    </row>
    <row r="649" spans="1:13" outlineLevel="2">
      <c r="A649" s="366"/>
      <c r="B649" s="367"/>
      <c r="C649" s="151" t="str">
        <f t="shared" si="10"/>
        <v/>
      </c>
      <c r="D649" s="115"/>
      <c r="E649" s="115"/>
      <c r="F649" s="115"/>
      <c r="G649" s="115"/>
      <c r="H649" s="382" t="s">
        <v>564</v>
      </c>
      <c r="I649" s="115"/>
      <c r="J649" s="115"/>
      <c r="K649" s="115"/>
      <c r="L649" s="115"/>
      <c r="M649" s="115"/>
    </row>
    <row r="650" spans="1:13" s="283" customFormat="1" outlineLevel="1">
      <c r="A650" s="366"/>
      <c r="B650" s="367"/>
      <c r="C650" s="151" t="str">
        <f t="shared" si="10"/>
        <v/>
      </c>
      <c r="D650" s="115"/>
      <c r="E650" s="115"/>
      <c r="F650" s="115"/>
      <c r="G650" s="115"/>
      <c r="H650" s="115"/>
      <c r="I650" s="115"/>
      <c r="J650" s="115"/>
      <c r="K650" s="115"/>
      <c r="L650" s="115"/>
      <c r="M650" s="115"/>
    </row>
    <row r="651" spans="1:13" s="283" customFormat="1" ht="28.8" outlineLevel="1" thickBot="1">
      <c r="A651" s="366"/>
      <c r="B651" s="367"/>
      <c r="C651" s="151" t="str">
        <f t="shared" si="10"/>
        <v>Produits pétroliers</v>
      </c>
      <c r="D651" s="371"/>
      <c r="E651" s="372"/>
      <c r="F651" s="635" t="s">
        <v>280</v>
      </c>
      <c r="G651" s="635"/>
      <c r="H651" s="635"/>
      <c r="I651" s="635"/>
      <c r="J651" s="635"/>
      <c r="K651" s="635"/>
      <c r="L651" s="635"/>
      <c r="M651" s="635"/>
    </row>
    <row r="652" spans="1:13" s="283" customFormat="1" ht="15" outlineLevel="1" thickTop="1">
      <c r="A652" s="366"/>
      <c r="B652" s="367"/>
      <c r="C652" s="151" t="str">
        <f t="shared" si="10"/>
        <v/>
      </c>
      <c r="D652" s="275"/>
      <c r="E652" s="275"/>
      <c r="F652" s="275"/>
    </row>
    <row r="653" spans="1:13" s="283" customFormat="1" outlineLevel="1">
      <c r="A653" s="366"/>
      <c r="B653" s="367"/>
      <c r="C653" s="151" t="str">
        <f t="shared" si="10"/>
        <v/>
      </c>
      <c r="D653" s="115"/>
      <c r="E653" s="115"/>
      <c r="F653" s="115"/>
      <c r="G653" s="115"/>
      <c r="H653" s="115"/>
      <c r="I653" s="115"/>
      <c r="J653" s="115"/>
      <c r="K653" s="115"/>
      <c r="L653" s="115"/>
      <c r="M653" s="115"/>
    </row>
    <row r="654" spans="1:13" s="283" customFormat="1" outlineLevel="1">
      <c r="A654" s="366"/>
      <c r="B654" s="367"/>
      <c r="C654" s="151" t="str">
        <f t="shared" si="10"/>
        <v/>
      </c>
      <c r="D654" s="115"/>
      <c r="E654" s="115"/>
      <c r="F654" s="115"/>
      <c r="G654" s="115"/>
      <c r="H654" s="115"/>
      <c r="I654" s="115"/>
      <c r="J654" s="115"/>
      <c r="K654" s="115"/>
      <c r="L654" s="115"/>
      <c r="M654" s="115"/>
    </row>
    <row r="655" spans="1:13" s="283" customFormat="1" ht="15" outlineLevel="2" thickBot="1">
      <c r="A655" s="366"/>
      <c r="B655" s="367"/>
      <c r="C655" s="151" t="str">
        <f t="shared" si="10"/>
        <v>Evolution de l'équilibre offre-demande de produits pétroliers</v>
      </c>
      <c r="D655" s="115"/>
      <c r="E655" s="615" t="s">
        <v>669</v>
      </c>
      <c r="F655" s="615"/>
      <c r="G655" s="615"/>
      <c r="H655" s="615"/>
      <c r="I655" s="615"/>
      <c r="J655" s="615"/>
      <c r="K655" s="615"/>
      <c r="L655" s="615"/>
      <c r="M655" s="115"/>
    </row>
    <row r="656" spans="1:13" s="283" customFormat="1" outlineLevel="2">
      <c r="A656" s="366"/>
      <c r="B656" s="367"/>
      <c r="C656" s="151" t="str">
        <f t="shared" si="10"/>
        <v>TWh</v>
      </c>
      <c r="D656" s="115"/>
      <c r="E656" s="227" t="s">
        <v>184</v>
      </c>
      <c r="F656" s="254">
        <v>2021</v>
      </c>
      <c r="G656" s="254">
        <v>2025</v>
      </c>
      <c r="H656" s="254">
        <v>2030</v>
      </c>
      <c r="I656" s="254">
        <v>2035</v>
      </c>
      <c r="J656" s="254">
        <v>2040</v>
      </c>
      <c r="K656" s="254">
        <v>2045</v>
      </c>
      <c r="L656" s="255">
        <v>2050</v>
      </c>
      <c r="M656" s="115"/>
    </row>
    <row r="657" spans="1:15" s="283" customFormat="1" outlineLevel="2">
      <c r="A657" s="366"/>
      <c r="B657" s="367"/>
      <c r="C657" s="151" t="str">
        <f t="shared" si="10"/>
        <v>Consommation de produits pétroliers</v>
      </c>
      <c r="D657" s="115"/>
      <c r="E657" s="265" t="s">
        <v>667</v>
      </c>
      <c r="F657" s="212">
        <v>853.57583350829179</v>
      </c>
      <c r="G657" s="213">
        <v>805.11163095455754</v>
      </c>
      <c r="H657" s="213">
        <v>714.18582787171397</v>
      </c>
      <c r="I657" s="213">
        <v>605.1091951008292</v>
      </c>
      <c r="J657" s="213">
        <v>493.95464206064224</v>
      </c>
      <c r="K657" s="213">
        <v>411.47032285764175</v>
      </c>
      <c r="L657" s="213">
        <v>341.64053026625618</v>
      </c>
      <c r="M657" s="115"/>
    </row>
    <row r="658" spans="1:15" s="283" customFormat="1" outlineLevel="2">
      <c r="A658" s="366"/>
      <c r="B658" s="367"/>
      <c r="C658" s="151" t="str">
        <f t="shared" si="10"/>
        <v>Production de produits pétroliers</v>
      </c>
      <c r="D658" s="115"/>
      <c r="E658" s="265" t="s">
        <v>668</v>
      </c>
      <c r="F658" s="212">
        <v>501.51615135662377</v>
      </c>
      <c r="G658" s="213">
        <v>479.32647301701326</v>
      </c>
      <c r="H658" s="213">
        <v>478.54066608250963</v>
      </c>
      <c r="I658" s="213">
        <v>477.79530171141795</v>
      </c>
      <c r="J658" s="213">
        <v>477.01461936597792</v>
      </c>
      <c r="K658" s="213">
        <v>396.26315784177632</v>
      </c>
      <c r="L658" s="213">
        <v>329.20957453629717</v>
      </c>
      <c r="M658" s="115"/>
    </row>
    <row r="659" spans="1:15" s="283" customFormat="1" outlineLevel="2">
      <c r="A659" s="366"/>
      <c r="B659" s="367"/>
      <c r="C659" s="151" t="str">
        <f t="shared" si="10"/>
        <v>Importations</v>
      </c>
      <c r="D659" s="115"/>
      <c r="E659" s="265" t="s">
        <v>203</v>
      </c>
      <c r="F659" s="212">
        <v>352.05968215166803</v>
      </c>
      <c r="G659" s="213">
        <v>325.78515793754428</v>
      </c>
      <c r="H659" s="213">
        <v>235.64516178920434</v>
      </c>
      <c r="I659" s="213">
        <v>127.31389338941125</v>
      </c>
      <c r="J659" s="213">
        <v>16.940022694664322</v>
      </c>
      <c r="K659" s="213">
        <v>15.207165015865428</v>
      </c>
      <c r="L659" s="213">
        <v>12.43095572995901</v>
      </c>
      <c r="M659" s="115"/>
    </row>
    <row r="660" spans="1:15" s="283" customFormat="1" outlineLevel="2">
      <c r="A660" s="366"/>
      <c r="B660" s="367"/>
      <c r="C660" s="151" t="str">
        <f t="shared" si="10"/>
        <v>Exportations</v>
      </c>
      <c r="D660" s="115"/>
      <c r="E660" s="265" t="s">
        <v>204</v>
      </c>
      <c r="F660" s="212">
        <v>0</v>
      </c>
      <c r="G660" s="213">
        <v>0</v>
      </c>
      <c r="H660" s="213">
        <v>0</v>
      </c>
      <c r="I660" s="213">
        <v>0</v>
      </c>
      <c r="J660" s="213">
        <v>0</v>
      </c>
      <c r="K660" s="213">
        <v>0</v>
      </c>
      <c r="L660" s="213">
        <v>0</v>
      </c>
      <c r="M660" s="115"/>
    </row>
    <row r="661" spans="1:15" s="283" customFormat="1" outlineLevel="2">
      <c r="A661" s="366"/>
      <c r="B661" s="367"/>
      <c r="C661" s="151" t="str">
        <f t="shared" si="10"/>
        <v/>
      </c>
      <c r="D661" s="115"/>
      <c r="E661" s="115"/>
      <c r="F661" s="115"/>
      <c r="G661" s="115"/>
      <c r="H661" s="382" t="s">
        <v>564</v>
      </c>
      <c r="I661" s="115"/>
      <c r="J661" s="115"/>
      <c r="K661" s="115"/>
      <c r="L661" s="115"/>
      <c r="M661" s="115"/>
    </row>
    <row r="662" spans="1:15" s="283" customFormat="1" outlineLevel="1">
      <c r="A662" s="366"/>
      <c r="B662" s="367"/>
      <c r="C662" s="151" t="str">
        <f t="shared" si="10"/>
        <v/>
      </c>
      <c r="D662" s="115"/>
      <c r="E662" s="115"/>
      <c r="F662" s="115"/>
      <c r="G662" s="115"/>
      <c r="H662" s="115"/>
      <c r="I662" s="115"/>
      <c r="J662" s="115"/>
      <c r="K662" s="115"/>
      <c r="L662" s="115"/>
      <c r="M662" s="115"/>
    </row>
    <row r="663" spans="1:15" s="283" customFormat="1" ht="28.8" outlineLevel="1" thickBot="1">
      <c r="A663" s="366"/>
      <c r="B663" s="367"/>
      <c r="C663" s="151" t="str">
        <f t="shared" si="10"/>
        <v>Carburants de synthèse</v>
      </c>
      <c r="D663" s="371"/>
      <c r="E663" s="372"/>
      <c r="F663" s="635" t="s">
        <v>670</v>
      </c>
      <c r="G663" s="635"/>
      <c r="H663" s="635"/>
      <c r="I663" s="635"/>
      <c r="J663" s="635"/>
      <c r="K663" s="635"/>
      <c r="L663" s="635"/>
      <c r="M663" s="635"/>
    </row>
    <row r="664" spans="1:15" s="283" customFormat="1" ht="15" outlineLevel="1" thickTop="1">
      <c r="A664" s="366"/>
      <c r="B664" s="367"/>
      <c r="C664" s="151" t="str">
        <f t="shared" si="10"/>
        <v/>
      </c>
      <c r="D664" s="275"/>
      <c r="E664" s="275"/>
      <c r="F664" s="275"/>
    </row>
    <row r="665" spans="1:15" s="283" customFormat="1" outlineLevel="2">
      <c r="A665" s="366"/>
      <c r="B665" s="367"/>
      <c r="C665" s="151" t="str">
        <f t="shared" ref="C665:C690" si="12">IF(ISBLANK(E665),IF(ISBLANK(F665),"",F665),E665)</f>
        <v/>
      </c>
      <c r="D665" s="115"/>
      <c r="E665" s="115"/>
      <c r="F665" s="115"/>
      <c r="G665" s="115"/>
      <c r="H665" s="115"/>
      <c r="I665" s="115"/>
      <c r="J665" s="115"/>
      <c r="K665" s="115"/>
      <c r="L665" s="115"/>
      <c r="M665" s="115"/>
    </row>
    <row r="666" spans="1:15" s="283" customFormat="1" ht="15" outlineLevel="2" thickBot="1">
      <c r="A666" s="366"/>
      <c r="B666" s="367"/>
      <c r="C666" s="151" t="str">
        <f t="shared" si="12"/>
        <v>Evolution de l'équilibre offre-demande des carburants de synthèse</v>
      </c>
      <c r="D666" s="115"/>
      <c r="E666" s="615" t="s">
        <v>1074</v>
      </c>
      <c r="F666" s="615"/>
      <c r="G666" s="615"/>
      <c r="H666" s="615"/>
      <c r="I666" s="615"/>
      <c r="J666" s="615"/>
      <c r="K666" s="615"/>
      <c r="L666" s="615"/>
      <c r="M666" s="115"/>
    </row>
    <row r="667" spans="1:15" s="283" customFormat="1" outlineLevel="2">
      <c r="A667" s="366"/>
      <c r="B667" s="367"/>
      <c r="C667" s="151" t="str">
        <f t="shared" si="12"/>
        <v>TWh</v>
      </c>
      <c r="D667" s="115"/>
      <c r="E667" s="227" t="s">
        <v>184</v>
      </c>
      <c r="F667" s="254">
        <v>2021</v>
      </c>
      <c r="G667" s="254">
        <v>2025</v>
      </c>
      <c r="H667" s="254">
        <v>2030</v>
      </c>
      <c r="I667" s="254">
        <v>2035</v>
      </c>
      <c r="J667" s="254">
        <v>2040</v>
      </c>
      <c r="K667" s="254">
        <v>2045</v>
      </c>
      <c r="L667" s="255">
        <v>2050</v>
      </c>
      <c r="M667" s="115"/>
    </row>
    <row r="668" spans="1:15" s="283" customFormat="1" outlineLevel="2">
      <c r="A668" s="366"/>
      <c r="B668" s="367"/>
      <c r="C668" s="151" t="str">
        <f t="shared" si="12"/>
        <v>Consommation de carburants de synthèse</v>
      </c>
      <c r="D668" s="115"/>
      <c r="E668" s="265" t="s">
        <v>672</v>
      </c>
      <c r="F668" s="212">
        <v>0</v>
      </c>
      <c r="G668" s="213"/>
      <c r="H668" s="213">
        <v>0.66615125955308685</v>
      </c>
      <c r="I668" s="213"/>
      <c r="J668" s="213">
        <v>10.596551552571414</v>
      </c>
      <c r="K668" s="213"/>
      <c r="L668" s="213">
        <v>34.521151452554918</v>
      </c>
      <c r="M668" s="115"/>
    </row>
    <row r="669" spans="1:15" s="283" customFormat="1" outlineLevel="2">
      <c r="A669" s="366"/>
      <c r="B669" s="367"/>
      <c r="C669" s="151" t="str">
        <f>IF(ISBLANK(E669),IF(ISBLANK(F669),"",F669),E669)</f>
        <v>Production de carburants de synthèse</v>
      </c>
      <c r="D669" s="115"/>
      <c r="E669" s="265" t="s">
        <v>671</v>
      </c>
      <c r="F669" s="212">
        <v>0</v>
      </c>
      <c r="G669" s="213"/>
      <c r="H669" s="213">
        <v>1.1827247277200783</v>
      </c>
      <c r="I669" s="213"/>
      <c r="J669" s="213">
        <v>16.612455092171967</v>
      </c>
      <c r="K669" s="213"/>
      <c r="L669" s="213">
        <v>53.501114226864196</v>
      </c>
      <c r="M669" s="115"/>
    </row>
    <row r="670" spans="1:15" s="283" customFormat="1" outlineLevel="2">
      <c r="A670" s="366"/>
      <c r="B670" s="367"/>
      <c r="C670" s="151"/>
      <c r="D670" s="115"/>
      <c r="E670" s="344" t="s">
        <v>822</v>
      </c>
      <c r="F670" s="383" t="s">
        <v>563</v>
      </c>
      <c r="G670" s="384"/>
      <c r="H670" s="384" t="s">
        <v>563</v>
      </c>
      <c r="I670" s="384"/>
      <c r="J670" s="384" t="s">
        <v>563</v>
      </c>
      <c r="K670" s="384"/>
      <c r="L670" s="384" t="s">
        <v>563</v>
      </c>
      <c r="M670" s="115"/>
      <c r="O670" s="380"/>
    </row>
    <row r="671" spans="1:15" s="283" customFormat="1" outlineLevel="2">
      <c r="A671" s="366"/>
      <c r="B671" s="367"/>
      <c r="C671" s="151"/>
      <c r="D671" s="115"/>
      <c r="E671" s="344" t="s">
        <v>823</v>
      </c>
      <c r="F671" s="383" t="s">
        <v>563</v>
      </c>
      <c r="G671" s="384"/>
      <c r="H671" s="384" t="s">
        <v>586</v>
      </c>
      <c r="I671" s="384"/>
      <c r="J671" s="384" t="s">
        <v>587</v>
      </c>
      <c r="K671" s="384"/>
      <c r="L671" s="384" t="s">
        <v>588</v>
      </c>
      <c r="M671" s="115"/>
      <c r="O671" s="380"/>
    </row>
    <row r="672" spans="1:15" s="283" customFormat="1" outlineLevel="2">
      <c r="A672" s="366"/>
      <c r="B672" s="367"/>
      <c r="C672" s="151"/>
      <c r="D672" s="115"/>
      <c r="E672" s="344" t="s">
        <v>824</v>
      </c>
      <c r="F672" s="383" t="s">
        <v>563</v>
      </c>
      <c r="G672" s="384"/>
      <c r="H672" s="384" t="s">
        <v>589</v>
      </c>
      <c r="I672" s="384"/>
      <c r="J672" s="384" t="s">
        <v>590</v>
      </c>
      <c r="K672" s="384"/>
      <c r="L672" s="384" t="s">
        <v>591</v>
      </c>
      <c r="M672" s="115"/>
      <c r="O672" s="190"/>
    </row>
    <row r="673" spans="1:15" s="283" customFormat="1" outlineLevel="2">
      <c r="A673" s="366"/>
      <c r="B673" s="367"/>
      <c r="C673" s="151"/>
      <c r="D673" s="115"/>
      <c r="E673" s="344" t="s">
        <v>825</v>
      </c>
      <c r="F673" s="383" t="s">
        <v>563</v>
      </c>
      <c r="G673" s="384"/>
      <c r="H673" s="384" t="s">
        <v>562</v>
      </c>
      <c r="I673" s="384"/>
      <c r="J673" s="384" t="s">
        <v>548</v>
      </c>
      <c r="K673" s="384"/>
      <c r="L673" s="384" t="s">
        <v>592</v>
      </c>
      <c r="M673" s="115"/>
      <c r="O673" s="190"/>
    </row>
    <row r="674" spans="1:15" outlineLevel="2">
      <c r="A674" s="366"/>
      <c r="B674" s="367"/>
      <c r="C674" s="151" t="str">
        <f t="shared" si="12"/>
        <v>Importations</v>
      </c>
      <c r="D674" s="115"/>
      <c r="E674" s="265" t="s">
        <v>203</v>
      </c>
      <c r="F674" s="212">
        <v>0</v>
      </c>
      <c r="G674" s="213"/>
      <c r="H674" s="213">
        <v>0</v>
      </c>
      <c r="I674" s="213"/>
      <c r="J674" s="213">
        <v>0</v>
      </c>
      <c r="K674" s="213"/>
      <c r="L674" s="213">
        <v>0</v>
      </c>
      <c r="M674" s="115"/>
    </row>
    <row r="675" spans="1:15" outlineLevel="2">
      <c r="A675" s="366"/>
      <c r="B675" s="367"/>
      <c r="C675" s="151" t="str">
        <f t="shared" si="12"/>
        <v>Exportations</v>
      </c>
      <c r="D675" s="115"/>
      <c r="E675" s="265" t="s">
        <v>204</v>
      </c>
      <c r="F675" s="212">
        <v>0</v>
      </c>
      <c r="G675" s="213"/>
      <c r="H675" s="213">
        <v>0.51657346816699146</v>
      </c>
      <c r="I675" s="213"/>
      <c r="J675" s="213">
        <v>6.0159035396005525</v>
      </c>
      <c r="K675" s="213"/>
      <c r="L675" s="213">
        <v>18.979962774309278</v>
      </c>
      <c r="M675" s="115"/>
    </row>
    <row r="676" spans="1:15" s="283" customFormat="1" ht="45" customHeight="1" outlineLevel="2">
      <c r="A676" s="366"/>
      <c r="B676" s="367"/>
      <c r="C676" s="151" t="e">
        <f>IF(ISBLANK(#REF!),IF(ISBLANK(E676),"",E676),#REF!)</f>
        <v>#REF!</v>
      </c>
      <c r="D676" s="115"/>
      <c r="E676" s="653" t="s">
        <v>658</v>
      </c>
      <c r="F676" s="653"/>
      <c r="G676" s="653"/>
      <c r="H676" s="653"/>
      <c r="I676" s="653"/>
      <c r="J676" s="653"/>
      <c r="K676" s="653"/>
      <c r="L676" s="653"/>
      <c r="M676" s="115"/>
    </row>
    <row r="677" spans="1:15" s="283" customFormat="1" outlineLevel="1">
      <c r="A677" s="366"/>
      <c r="B677" s="367"/>
      <c r="C677" s="151" t="str">
        <f t="shared" si="12"/>
        <v/>
      </c>
      <c r="D677" s="114"/>
      <c r="E677" s="292"/>
      <c r="F677" s="293"/>
      <c r="G677" s="293"/>
      <c r="H677" s="293"/>
      <c r="I677" s="293"/>
      <c r="J677" s="293"/>
      <c r="K677" s="293"/>
      <c r="L677" s="293"/>
      <c r="M677" s="114"/>
    </row>
    <row r="678" spans="1:15" ht="28.8" outlineLevel="1" thickBot="1">
      <c r="A678" s="366"/>
      <c r="B678" s="367"/>
      <c r="C678" s="151" t="str">
        <f t="shared" si="12"/>
        <v>Gaz fossile</v>
      </c>
      <c r="D678" s="371"/>
      <c r="E678" s="372"/>
      <c r="F678" s="635" t="s">
        <v>1106</v>
      </c>
      <c r="G678" s="635"/>
      <c r="H678" s="635"/>
      <c r="I678" s="635"/>
      <c r="J678" s="635"/>
      <c r="K678" s="635"/>
      <c r="L678" s="635"/>
      <c r="M678" s="635"/>
    </row>
    <row r="679" spans="1:15" ht="15" outlineLevel="1" thickTop="1">
      <c r="A679" s="366"/>
      <c r="B679" s="367"/>
      <c r="C679" s="151" t="str">
        <f t="shared" si="12"/>
        <v/>
      </c>
      <c r="D679" s="275"/>
      <c r="E679" s="275"/>
      <c r="F679" s="275"/>
      <c r="G679" s="283"/>
      <c r="H679" s="283"/>
      <c r="I679" s="283"/>
      <c r="J679" s="283"/>
      <c r="K679" s="283"/>
      <c r="L679" s="283"/>
      <c r="M679" s="283"/>
    </row>
    <row r="680" spans="1:15" outlineLevel="2">
      <c r="A680" s="366"/>
      <c r="B680" s="367"/>
      <c r="C680" s="151" t="str">
        <f t="shared" si="12"/>
        <v/>
      </c>
      <c r="D680" s="115"/>
      <c r="E680" s="115"/>
      <c r="F680" s="115"/>
      <c r="G680" s="115"/>
      <c r="H680" s="115"/>
      <c r="I680" s="115"/>
      <c r="J680" s="115"/>
      <c r="K680" s="115"/>
      <c r="L680" s="115"/>
      <c r="M680" s="115"/>
    </row>
    <row r="681" spans="1:15" outlineLevel="2">
      <c r="A681" s="366"/>
      <c r="B681" s="367"/>
      <c r="C681" s="151" t="str">
        <f t="shared" si="12"/>
        <v/>
      </c>
      <c r="D681" s="115"/>
      <c r="E681" s="115"/>
      <c r="F681" s="115"/>
      <c r="G681" s="115"/>
      <c r="H681" s="115"/>
      <c r="I681" s="115"/>
      <c r="J681" s="115"/>
      <c r="K681" s="115"/>
      <c r="L681" s="115"/>
      <c r="M681" s="115"/>
    </row>
    <row r="682" spans="1:15" ht="15" outlineLevel="2" thickBot="1">
      <c r="A682" s="366"/>
      <c r="B682" s="367"/>
      <c r="C682" s="151" t="str">
        <f t="shared" si="12"/>
        <v>Evolution de l'équilibre offre-demande de gaz fossile</v>
      </c>
      <c r="D682" s="115"/>
      <c r="E682" s="615" t="s">
        <v>1075</v>
      </c>
      <c r="F682" s="615"/>
      <c r="G682" s="615"/>
      <c r="H682" s="615"/>
      <c r="I682" s="615"/>
      <c r="J682" s="615"/>
      <c r="K682" s="615"/>
      <c r="L682" s="615"/>
      <c r="M682" s="115"/>
    </row>
    <row r="683" spans="1:15" outlineLevel="2">
      <c r="A683" s="366"/>
      <c r="B683" s="367"/>
      <c r="C683" s="151" t="str">
        <f t="shared" si="12"/>
        <v>TWh</v>
      </c>
      <c r="D683" s="115"/>
      <c r="E683" s="227" t="s">
        <v>184</v>
      </c>
      <c r="F683" s="254">
        <v>2021</v>
      </c>
      <c r="G683" s="254">
        <v>2025</v>
      </c>
      <c r="H683" s="254">
        <v>2030</v>
      </c>
      <c r="I683" s="254">
        <v>2035</v>
      </c>
      <c r="J683" s="254">
        <v>2040</v>
      </c>
      <c r="K683" s="254">
        <v>2045</v>
      </c>
      <c r="L683" s="255">
        <v>2050</v>
      </c>
      <c r="M683" s="115"/>
    </row>
    <row r="684" spans="1:15" outlineLevel="2">
      <c r="A684" s="366"/>
      <c r="B684" s="367"/>
      <c r="C684" s="151" t="str">
        <f t="shared" si="12"/>
        <v>Consommation de gaz fossile</v>
      </c>
      <c r="D684" s="115"/>
      <c r="E684" s="265" t="s">
        <v>1076</v>
      </c>
      <c r="F684" s="212">
        <v>434.2</v>
      </c>
      <c r="G684" s="213">
        <v>349.1</v>
      </c>
      <c r="H684" s="213">
        <v>336</v>
      </c>
      <c r="I684" s="213">
        <v>336.1</v>
      </c>
      <c r="J684" s="213">
        <v>335.4</v>
      </c>
      <c r="K684" s="213">
        <v>332.4</v>
      </c>
      <c r="L684" s="213">
        <v>354.3</v>
      </c>
      <c r="M684" s="115"/>
    </row>
    <row r="685" spans="1:15" outlineLevel="2">
      <c r="A685" s="366"/>
      <c r="B685" s="367"/>
      <c r="C685" s="151" t="str">
        <f t="shared" si="12"/>
        <v>Production de gaz fossile</v>
      </c>
      <c r="D685" s="115"/>
      <c r="E685" s="265" t="s">
        <v>1077</v>
      </c>
      <c r="F685" s="212">
        <v>0.2</v>
      </c>
      <c r="G685" s="213">
        <v>0.2</v>
      </c>
      <c r="H685" s="213">
        <v>0.2</v>
      </c>
      <c r="I685" s="213">
        <v>0.1</v>
      </c>
      <c r="J685" s="213">
        <v>0</v>
      </c>
      <c r="K685" s="213">
        <v>0</v>
      </c>
      <c r="L685" s="213">
        <v>0</v>
      </c>
      <c r="M685" s="115"/>
    </row>
    <row r="686" spans="1:15" outlineLevel="2">
      <c r="A686" s="366"/>
      <c r="B686" s="367"/>
      <c r="C686" s="151" t="str">
        <f t="shared" si="12"/>
        <v>Importations</v>
      </c>
      <c r="D686" s="115"/>
      <c r="E686" s="265" t="s">
        <v>203</v>
      </c>
      <c r="F686" s="212">
        <v>434</v>
      </c>
      <c r="G686" s="213">
        <v>348.90000000000003</v>
      </c>
      <c r="H686" s="213">
        <v>335.8</v>
      </c>
      <c r="I686" s="213">
        <v>336</v>
      </c>
      <c r="J686" s="213">
        <v>335.4</v>
      </c>
      <c r="K686" s="213">
        <v>332.4</v>
      </c>
      <c r="L686" s="213">
        <v>354.3</v>
      </c>
      <c r="M686" s="115"/>
    </row>
    <row r="687" spans="1:15" outlineLevel="2">
      <c r="A687" s="366"/>
      <c r="B687" s="367"/>
      <c r="C687" s="151" t="str">
        <f t="shared" si="12"/>
        <v>Exportations</v>
      </c>
      <c r="D687" s="115"/>
      <c r="E687" s="265" t="s">
        <v>204</v>
      </c>
      <c r="F687" s="212">
        <v>0</v>
      </c>
      <c r="G687" s="213">
        <v>0</v>
      </c>
      <c r="H687" s="213">
        <v>0</v>
      </c>
      <c r="I687" s="213">
        <v>0</v>
      </c>
      <c r="J687" s="213">
        <v>0</v>
      </c>
      <c r="K687" s="213">
        <v>0</v>
      </c>
      <c r="L687" s="213">
        <v>0</v>
      </c>
      <c r="M687" s="115"/>
    </row>
    <row r="688" spans="1:15" outlineLevel="2">
      <c r="A688" s="366"/>
      <c r="B688" s="367"/>
      <c r="C688" s="151" t="str">
        <f t="shared" si="12"/>
        <v/>
      </c>
      <c r="D688" s="115"/>
      <c r="E688" s="290"/>
      <c r="F688" s="291"/>
      <c r="G688" s="291"/>
      <c r="H688" s="291"/>
      <c r="I688" s="291"/>
      <c r="J688" s="291"/>
      <c r="K688" s="291"/>
      <c r="L688" s="291"/>
      <c r="M688" s="115"/>
    </row>
    <row r="689" spans="1:3" outlineLevel="1">
      <c r="A689" s="366"/>
      <c r="B689" s="367"/>
      <c r="C689" s="151" t="str">
        <f t="shared" si="12"/>
        <v/>
      </c>
    </row>
    <row r="690" spans="1:3" outlineLevel="1">
      <c r="A690" s="366"/>
      <c r="B690" s="367"/>
      <c r="C690" s="151" t="str">
        <f t="shared" si="12"/>
        <v/>
      </c>
    </row>
  </sheetData>
  <mergeCells count="249">
    <mergeCell ref="E1:M1"/>
    <mergeCell ref="O3:Q3"/>
    <mergeCell ref="R3:T3"/>
    <mergeCell ref="F4:G4"/>
    <mergeCell ref="H4:I4"/>
    <mergeCell ref="J4:K4"/>
    <mergeCell ref="E12:L12"/>
    <mergeCell ref="F14:M14"/>
    <mergeCell ref="F5:G5"/>
    <mergeCell ref="H5:I5"/>
    <mergeCell ref="E8:L8"/>
    <mergeCell ref="E11:L11"/>
    <mergeCell ref="J5:K5"/>
    <mergeCell ref="F3:K3"/>
    <mergeCell ref="H54:H55"/>
    <mergeCell ref="I54:I55"/>
    <mergeCell ref="J54:J55"/>
    <mergeCell ref="K54:K55"/>
    <mergeCell ref="L54:L55"/>
    <mergeCell ref="M54:M55"/>
    <mergeCell ref="M19:M20"/>
    <mergeCell ref="E19:E20"/>
    <mergeCell ref="F19:F20"/>
    <mergeCell ref="G19:G20"/>
    <mergeCell ref="H19:H20"/>
    <mergeCell ref="E54:E55"/>
    <mergeCell ref="F54:F55"/>
    <mergeCell ref="G54:G55"/>
    <mergeCell ref="I19:I20"/>
    <mergeCell ref="J19:J20"/>
    <mergeCell ref="K19:K20"/>
    <mergeCell ref="L19:L20"/>
    <mergeCell ref="E193:L193"/>
    <mergeCell ref="E263:L263"/>
    <mergeCell ref="E298:L298"/>
    <mergeCell ref="E333:L333"/>
    <mergeCell ref="E588:L588"/>
    <mergeCell ref="E532:L532"/>
    <mergeCell ref="D568:F568"/>
    <mergeCell ref="F569:M569"/>
    <mergeCell ref="E573:L573"/>
    <mergeCell ref="E510:L510"/>
    <mergeCell ref="F513:M513"/>
    <mergeCell ref="E517:L517"/>
    <mergeCell ref="E534:L534"/>
    <mergeCell ref="E551:L551"/>
    <mergeCell ref="L264:L265"/>
    <mergeCell ref="E368:L368"/>
    <mergeCell ref="H334:H335"/>
    <mergeCell ref="I334:I335"/>
    <mergeCell ref="J334:J335"/>
    <mergeCell ref="K299:K300"/>
    <mergeCell ref="L299:L300"/>
    <mergeCell ref="E369:E370"/>
    <mergeCell ref="F369:F370"/>
    <mergeCell ref="G369:G370"/>
    <mergeCell ref="K89:K90"/>
    <mergeCell ref="L89:L90"/>
    <mergeCell ref="M89:M90"/>
    <mergeCell ref="E89:E90"/>
    <mergeCell ref="F89:F90"/>
    <mergeCell ref="G89:G90"/>
    <mergeCell ref="H89:H90"/>
    <mergeCell ref="I89:I90"/>
    <mergeCell ref="J89:J90"/>
    <mergeCell ref="M159:M160"/>
    <mergeCell ref="W124:W125"/>
    <mergeCell ref="E159:E160"/>
    <mergeCell ref="F159:F160"/>
    <mergeCell ref="G159:G160"/>
    <mergeCell ref="H159:H160"/>
    <mergeCell ref="I159:I160"/>
    <mergeCell ref="J159:J160"/>
    <mergeCell ref="K159:K160"/>
    <mergeCell ref="L159:L160"/>
    <mergeCell ref="L124:L125"/>
    <mergeCell ref="M124:M125"/>
    <mergeCell ref="E124:E125"/>
    <mergeCell ref="F124:F125"/>
    <mergeCell ref="G124:G125"/>
    <mergeCell ref="H124:H125"/>
    <mergeCell ref="I124:I125"/>
    <mergeCell ref="J124:J125"/>
    <mergeCell ref="K124:K125"/>
    <mergeCell ref="N194:S194"/>
    <mergeCell ref="T194:T195"/>
    <mergeCell ref="U194:U195"/>
    <mergeCell ref="V194:V195"/>
    <mergeCell ref="W194:W195"/>
    <mergeCell ref="E228:L228"/>
    <mergeCell ref="H194:H195"/>
    <mergeCell ref="I194:I195"/>
    <mergeCell ref="J194:J195"/>
    <mergeCell ref="K194:K195"/>
    <mergeCell ref="L194:L195"/>
    <mergeCell ref="M194:M195"/>
    <mergeCell ref="E194:E195"/>
    <mergeCell ref="F194:F195"/>
    <mergeCell ref="G194:G195"/>
    <mergeCell ref="M229:M230"/>
    <mergeCell ref="E229:E230"/>
    <mergeCell ref="F229:F230"/>
    <mergeCell ref="G229:G230"/>
    <mergeCell ref="H229:H230"/>
    <mergeCell ref="I229:I230"/>
    <mergeCell ref="J229:J230"/>
    <mergeCell ref="W264:W265"/>
    <mergeCell ref="M264:M265"/>
    <mergeCell ref="E264:E265"/>
    <mergeCell ref="F264:F265"/>
    <mergeCell ref="G264:G265"/>
    <mergeCell ref="H264:H265"/>
    <mergeCell ref="I264:I265"/>
    <mergeCell ref="J264:J265"/>
    <mergeCell ref="K264:K265"/>
    <mergeCell ref="K229:K230"/>
    <mergeCell ref="L229:L230"/>
    <mergeCell ref="H369:H370"/>
    <mergeCell ref="I369:I370"/>
    <mergeCell ref="J369:J370"/>
    <mergeCell ref="E299:E300"/>
    <mergeCell ref="F299:F300"/>
    <mergeCell ref="G299:G300"/>
    <mergeCell ref="H299:H300"/>
    <mergeCell ref="I299:I300"/>
    <mergeCell ref="J299:J300"/>
    <mergeCell ref="V474:V475"/>
    <mergeCell ref="W474:W475"/>
    <mergeCell ref="E18:L18"/>
    <mergeCell ref="E53:L53"/>
    <mergeCell ref="E88:L88"/>
    <mergeCell ref="E123:L123"/>
    <mergeCell ref="E158:L158"/>
    <mergeCell ref="E474:E475"/>
    <mergeCell ref="F474:F475"/>
    <mergeCell ref="G474:G475"/>
    <mergeCell ref="H474:H475"/>
    <mergeCell ref="I474:I475"/>
    <mergeCell ref="J474:J475"/>
    <mergeCell ref="K474:K475"/>
    <mergeCell ref="L474:L475"/>
    <mergeCell ref="M474:M475"/>
    <mergeCell ref="M439:M440"/>
    <mergeCell ref="W404:W405"/>
    <mergeCell ref="E439:E440"/>
    <mergeCell ref="F439:F440"/>
    <mergeCell ref="G439:G440"/>
    <mergeCell ref="W439:W440"/>
    <mergeCell ref="V439:V440"/>
    <mergeCell ref="K334:K335"/>
    <mergeCell ref="V404:V405"/>
    <mergeCell ref="U404:U405"/>
    <mergeCell ref="H439:H440"/>
    <mergeCell ref="I439:I440"/>
    <mergeCell ref="J439:J440"/>
    <mergeCell ref="K439:K440"/>
    <mergeCell ref="L439:L440"/>
    <mergeCell ref="L404:L405"/>
    <mergeCell ref="M404:M405"/>
    <mergeCell ref="T404:T405"/>
    <mergeCell ref="N404:S404"/>
    <mergeCell ref="H404:H405"/>
    <mergeCell ref="I404:I405"/>
    <mergeCell ref="J404:J405"/>
    <mergeCell ref="K404:K405"/>
    <mergeCell ref="V369:V370"/>
    <mergeCell ref="W369:W370"/>
    <mergeCell ref="V264:V265"/>
    <mergeCell ref="U264:U265"/>
    <mergeCell ref="T264:T265"/>
    <mergeCell ref="N264:S264"/>
    <mergeCell ref="U229:U230"/>
    <mergeCell ref="T229:T230"/>
    <mergeCell ref="N229:S229"/>
    <mergeCell ref="U369:U370"/>
    <mergeCell ref="T369:T370"/>
    <mergeCell ref="N369:S369"/>
    <mergeCell ref="U334:U335"/>
    <mergeCell ref="V334:V335"/>
    <mergeCell ref="V229:V230"/>
    <mergeCell ref="N334:S334"/>
    <mergeCell ref="T334:T335"/>
    <mergeCell ref="W334:W335"/>
    <mergeCell ref="W299:W300"/>
    <mergeCell ref="V299:V300"/>
    <mergeCell ref="U299:U300"/>
    <mergeCell ref="T299:T300"/>
    <mergeCell ref="N299:S299"/>
    <mergeCell ref="W229:W230"/>
    <mergeCell ref="W19:W20"/>
    <mergeCell ref="V19:V20"/>
    <mergeCell ref="U19:U20"/>
    <mergeCell ref="T19:T20"/>
    <mergeCell ref="N19:S19"/>
    <mergeCell ref="W159:W160"/>
    <mergeCell ref="V159:V160"/>
    <mergeCell ref="U159:U160"/>
    <mergeCell ref="T159:T160"/>
    <mergeCell ref="N159:S159"/>
    <mergeCell ref="V124:V125"/>
    <mergeCell ref="U124:U125"/>
    <mergeCell ref="T124:T125"/>
    <mergeCell ref="N124:S124"/>
    <mergeCell ref="V89:V90"/>
    <mergeCell ref="W89:W90"/>
    <mergeCell ref="N54:S54"/>
    <mergeCell ref="T54:T55"/>
    <mergeCell ref="U54:U55"/>
    <mergeCell ref="V54:V55"/>
    <mergeCell ref="W54:W55"/>
    <mergeCell ref="F678:M678"/>
    <mergeCell ref="E682:L682"/>
    <mergeCell ref="U89:U90"/>
    <mergeCell ref="T89:T90"/>
    <mergeCell ref="N89:S89"/>
    <mergeCell ref="U439:U440"/>
    <mergeCell ref="T439:T440"/>
    <mergeCell ref="N439:S439"/>
    <mergeCell ref="U474:U475"/>
    <mergeCell ref="L334:L335"/>
    <mergeCell ref="M334:M335"/>
    <mergeCell ref="M299:M300"/>
    <mergeCell ref="E334:E335"/>
    <mergeCell ref="F334:F335"/>
    <mergeCell ref="G334:G335"/>
    <mergeCell ref="N474:S474"/>
    <mergeCell ref="T474:T475"/>
    <mergeCell ref="E404:E405"/>
    <mergeCell ref="F404:F405"/>
    <mergeCell ref="G404:G405"/>
    <mergeCell ref="K369:K370"/>
    <mergeCell ref="L369:L370"/>
    <mergeCell ref="E403:L403"/>
    <mergeCell ref="M369:M370"/>
    <mergeCell ref="E676:L676"/>
    <mergeCell ref="E614:L614"/>
    <mergeCell ref="F597:M597"/>
    <mergeCell ref="E601:L601"/>
    <mergeCell ref="F628:M628"/>
    <mergeCell ref="E631:L631"/>
    <mergeCell ref="E438:L438"/>
    <mergeCell ref="E473:L473"/>
    <mergeCell ref="D509:F509"/>
    <mergeCell ref="F639:M639"/>
    <mergeCell ref="F651:M651"/>
    <mergeCell ref="E655:L655"/>
    <mergeCell ref="F663:M663"/>
    <mergeCell ref="E642:L642"/>
    <mergeCell ref="E666:L666"/>
  </mergeCells>
  <conditionalFormatting sqref="F21:M23">
    <cfRule type="cellIs" dxfId="71" priority="105" operator="equal">
      <formula>0</formula>
    </cfRule>
  </conditionalFormatting>
  <conditionalFormatting sqref="F26:M26">
    <cfRule type="cellIs" dxfId="70" priority="106" operator="equal">
      <formula>0</formula>
    </cfRule>
  </conditionalFormatting>
  <conditionalFormatting sqref="F24:S25">
    <cfRule type="cellIs" dxfId="69" priority="103" operator="equal">
      <formula>0</formula>
    </cfRule>
  </conditionalFormatting>
  <conditionalFormatting sqref="F27:W51">
    <cfRule type="cellIs" dxfId="68" priority="100" operator="equal">
      <formula>0</formula>
    </cfRule>
  </conditionalFormatting>
  <conditionalFormatting sqref="N20:S20">
    <cfRule type="cellIs" dxfId="67" priority="107" operator="equal">
      <formula>0</formula>
    </cfRule>
  </conditionalFormatting>
  <conditionalFormatting sqref="N21:W26">
    <cfRule type="cellIs" dxfId="66" priority="104" operator="equal">
      <formula>0</formula>
    </cfRule>
  </conditionalFormatting>
  <conditionalFormatting sqref="F56:H86 I62:W62 I76:W76">
    <cfRule type="cellIs" dxfId="65" priority="46" operator="equal">
      <formula>0</formula>
    </cfRule>
  </conditionalFormatting>
  <conditionalFormatting sqref="F91:W121">
    <cfRule type="cellIs" dxfId="64" priority="2" operator="equal">
      <formula>0</formula>
    </cfRule>
  </conditionalFormatting>
  <conditionalFormatting sqref="F126:W156">
    <cfRule type="cellIs" dxfId="63" priority="40" operator="equal">
      <formula>0</formula>
    </cfRule>
  </conditionalFormatting>
  <conditionalFormatting sqref="F161:W191 F196:W226 F231:W261 F266:W296 F301:W331">
    <cfRule type="cellIs" dxfId="62" priority="10" operator="equal">
      <formula>0</formula>
    </cfRule>
  </conditionalFormatting>
  <conditionalFormatting sqref="F336:W366 F371:W401 F406:W436 F441:W471 F476:W506">
    <cfRule type="cellIs" dxfId="61" priority="8" operator="equal">
      <formula>0</formula>
    </cfRule>
  </conditionalFormatting>
  <conditionalFormatting sqref="G84:W84 G86:W86">
    <cfRule type="cellIs" dxfId="60" priority="43" operator="equal">
      <formula>0</formula>
    </cfRule>
  </conditionalFormatting>
  <conditionalFormatting sqref="H92:H93">
    <cfRule type="cellIs" dxfId="59" priority="5" operator="equal">
      <formula>0</formula>
    </cfRule>
  </conditionalFormatting>
  <conditionalFormatting sqref="H127:H128">
    <cfRule type="cellIs" dxfId="58" priority="96" operator="equal">
      <formula>0</formula>
    </cfRule>
  </conditionalFormatting>
  <conditionalFormatting sqref="H162:H163">
    <cfRule type="cellIs" dxfId="57" priority="75" operator="equal">
      <formula>0</formula>
    </cfRule>
  </conditionalFormatting>
  <conditionalFormatting sqref="H197:H198">
    <cfRule type="cellIs" dxfId="56" priority="72" operator="equal">
      <formula>0</formula>
    </cfRule>
  </conditionalFormatting>
  <conditionalFormatting sqref="H232:H233">
    <cfRule type="cellIs" dxfId="55" priority="69" operator="equal">
      <formula>0</formula>
    </cfRule>
  </conditionalFormatting>
  <conditionalFormatting sqref="H267:H268">
    <cfRule type="cellIs" dxfId="54" priority="66" operator="equal">
      <formula>0</formula>
    </cfRule>
  </conditionalFormatting>
  <conditionalFormatting sqref="H302:H303">
    <cfRule type="cellIs" dxfId="53" priority="63" operator="equal">
      <formula>0</formula>
    </cfRule>
  </conditionalFormatting>
  <conditionalFormatting sqref="H337:H338">
    <cfRule type="cellIs" dxfId="52" priority="60" operator="equal">
      <formula>0</formula>
    </cfRule>
  </conditionalFormatting>
  <conditionalFormatting sqref="H372:H373">
    <cfRule type="cellIs" dxfId="51" priority="57" operator="equal">
      <formula>0</formula>
    </cfRule>
  </conditionalFormatting>
  <conditionalFormatting sqref="H407:H408">
    <cfRule type="cellIs" dxfId="50" priority="54" operator="equal">
      <formula>0</formula>
    </cfRule>
  </conditionalFormatting>
  <conditionalFormatting sqref="H442:H443">
    <cfRule type="cellIs" dxfId="49" priority="51" operator="equal">
      <formula>0</formula>
    </cfRule>
  </conditionalFormatting>
  <conditionalFormatting sqref="H477:H478">
    <cfRule type="cellIs" dxfId="48" priority="48" operator="equal">
      <formula>0</formula>
    </cfRule>
  </conditionalFormatting>
  <conditionalFormatting sqref="I56:K62">
    <cfRule type="cellIs" dxfId="47" priority="45" operator="equal">
      <formula>0</formula>
    </cfRule>
  </conditionalFormatting>
  <conditionalFormatting sqref="I63:W83 I85:W85">
    <cfRule type="cellIs" dxfId="46" priority="15" operator="equal">
      <formula>0</formula>
    </cfRule>
  </conditionalFormatting>
  <conditionalFormatting sqref="L56:M58">
    <cfRule type="cellIs" dxfId="45" priority="80" operator="equal">
      <formula>0</formula>
    </cfRule>
  </conditionalFormatting>
  <conditionalFormatting sqref="L61:M61">
    <cfRule type="cellIs" dxfId="44" priority="82" operator="equal">
      <formula>0</formula>
    </cfRule>
  </conditionalFormatting>
  <conditionalFormatting sqref="L59:S60">
    <cfRule type="cellIs" dxfId="43" priority="78" operator="equal">
      <formula>0</formula>
    </cfRule>
  </conditionalFormatting>
  <conditionalFormatting sqref="L92:V93">
    <cfRule type="cellIs" dxfId="42" priority="6" operator="equal">
      <formula>0</formula>
    </cfRule>
  </conditionalFormatting>
  <conditionalFormatting sqref="L127:V128">
    <cfRule type="cellIs" dxfId="41" priority="97" operator="equal">
      <formula>0</formula>
    </cfRule>
  </conditionalFormatting>
  <conditionalFormatting sqref="L155:V155">
    <cfRule type="cellIs" dxfId="40" priority="89" operator="equal">
      <formula>0</formula>
    </cfRule>
  </conditionalFormatting>
  <conditionalFormatting sqref="N126:Q131">
    <cfRule type="cellIs" dxfId="39" priority="77" operator="equal">
      <formula>0</formula>
    </cfRule>
  </conditionalFormatting>
  <conditionalFormatting sqref="N55:S55">
    <cfRule type="cellIs" dxfId="38" priority="81" operator="equal">
      <formula>0</formula>
    </cfRule>
  </conditionalFormatting>
  <conditionalFormatting sqref="N90:S90">
    <cfRule type="cellIs" dxfId="37" priority="18" operator="equal">
      <formula>0</formula>
    </cfRule>
  </conditionalFormatting>
  <conditionalFormatting sqref="N125:S125">
    <cfRule type="cellIs" dxfId="36" priority="95" operator="equal">
      <formula>0</formula>
    </cfRule>
  </conditionalFormatting>
  <conditionalFormatting sqref="N160:S160">
    <cfRule type="cellIs" dxfId="35" priority="94" operator="equal">
      <formula>0</formula>
    </cfRule>
  </conditionalFormatting>
  <conditionalFormatting sqref="N195:S195">
    <cfRule type="cellIs" dxfId="34" priority="93" operator="equal">
      <formula>0</formula>
    </cfRule>
  </conditionalFormatting>
  <conditionalFormatting sqref="N230:S230">
    <cfRule type="cellIs" dxfId="33" priority="92" operator="equal">
      <formula>0</formula>
    </cfRule>
  </conditionalFormatting>
  <conditionalFormatting sqref="N265:S265">
    <cfRule type="cellIs" dxfId="32" priority="91" operator="equal">
      <formula>0</formula>
    </cfRule>
  </conditionalFormatting>
  <conditionalFormatting sqref="N300:S300">
    <cfRule type="cellIs" dxfId="31" priority="90" operator="equal">
      <formula>0</formula>
    </cfRule>
  </conditionalFormatting>
  <conditionalFormatting sqref="N335:S335">
    <cfRule type="cellIs" dxfId="30" priority="88" operator="equal">
      <formula>0</formula>
    </cfRule>
  </conditionalFormatting>
  <conditionalFormatting sqref="N370:S370">
    <cfRule type="cellIs" dxfId="29" priority="87" operator="equal">
      <formula>0</formula>
    </cfRule>
  </conditionalFormatting>
  <conditionalFormatting sqref="N405:S405">
    <cfRule type="cellIs" dxfId="28" priority="86" operator="equal">
      <formula>0</formula>
    </cfRule>
  </conditionalFormatting>
  <conditionalFormatting sqref="N440:S440">
    <cfRule type="cellIs" dxfId="27" priority="85" operator="equal">
      <formula>0</formula>
    </cfRule>
  </conditionalFormatting>
  <conditionalFormatting sqref="N475:S475">
    <cfRule type="cellIs" dxfId="26" priority="84" operator="equal">
      <formula>0</formula>
    </cfRule>
  </conditionalFormatting>
  <conditionalFormatting sqref="N56:W61">
    <cfRule type="cellIs" dxfId="25" priority="79" operator="equal">
      <formula>0</formula>
    </cfRule>
  </conditionalFormatting>
  <conditionalFormatting sqref="R92:S96">
    <cfRule type="cellIs" dxfId="24" priority="4" operator="equal">
      <formula>0</formula>
    </cfRule>
  </conditionalFormatting>
  <conditionalFormatting sqref="R127:S131">
    <cfRule type="cellIs" dxfId="23" priority="83" operator="equal">
      <formula>0</formula>
    </cfRule>
  </conditionalFormatting>
  <conditionalFormatting sqref="R162:S166">
    <cfRule type="cellIs" dxfId="22" priority="74" operator="equal">
      <formula>0</formula>
    </cfRule>
  </conditionalFormatting>
  <conditionalFormatting sqref="R197:S201">
    <cfRule type="cellIs" dxfId="21" priority="71" operator="equal">
      <formula>0</formula>
    </cfRule>
  </conditionalFormatting>
  <conditionalFormatting sqref="R232:S236">
    <cfRule type="cellIs" dxfId="20" priority="68" operator="equal">
      <formula>0</formula>
    </cfRule>
  </conditionalFormatting>
  <conditionalFormatting sqref="R267:S271">
    <cfRule type="cellIs" dxfId="19" priority="65" operator="equal">
      <formula>0</formula>
    </cfRule>
  </conditionalFormatting>
  <conditionalFormatting sqref="R302:S306">
    <cfRule type="cellIs" dxfId="18" priority="62" operator="equal">
      <formula>0</formula>
    </cfRule>
  </conditionalFormatting>
  <conditionalFormatting sqref="R337:S341">
    <cfRule type="cellIs" dxfId="17" priority="59" operator="equal">
      <formula>0</formula>
    </cfRule>
  </conditionalFormatting>
  <conditionalFormatting sqref="R372:S376">
    <cfRule type="cellIs" dxfId="16" priority="56" operator="equal">
      <formula>0</formula>
    </cfRule>
  </conditionalFormatting>
  <conditionalFormatting sqref="R407:S411">
    <cfRule type="cellIs" dxfId="15" priority="53" operator="equal">
      <formula>0</formula>
    </cfRule>
  </conditionalFormatting>
  <conditionalFormatting sqref="R442:S446">
    <cfRule type="cellIs" dxfId="14" priority="50" operator="equal">
      <formula>0</formula>
    </cfRule>
  </conditionalFormatting>
  <conditionalFormatting sqref="R477:S481">
    <cfRule type="cellIs" dxfId="13" priority="47" operator="equal">
      <formula>0</formula>
    </cfRule>
  </conditionalFormatting>
  <conditionalFormatting sqref="T91:T93">
    <cfRule type="cellIs" dxfId="12" priority="7" operator="equal">
      <formula>0</formula>
    </cfRule>
  </conditionalFormatting>
  <conditionalFormatting sqref="T126:T128">
    <cfRule type="cellIs" dxfId="11" priority="98" operator="equal">
      <formula>0</formula>
    </cfRule>
  </conditionalFormatting>
  <conditionalFormatting sqref="T161:T163">
    <cfRule type="cellIs" dxfId="10" priority="76" operator="equal">
      <formula>0</formula>
    </cfRule>
  </conditionalFormatting>
  <conditionalFormatting sqref="T196:T198">
    <cfRule type="cellIs" dxfId="9" priority="73" operator="equal">
      <formula>0</formula>
    </cfRule>
  </conditionalFormatting>
  <conditionalFormatting sqref="T231:T233">
    <cfRule type="cellIs" dxfId="8" priority="70" operator="equal">
      <formula>0</formula>
    </cfRule>
  </conditionalFormatting>
  <conditionalFormatting sqref="T266:T268">
    <cfRule type="cellIs" dxfId="7" priority="67" operator="equal">
      <formula>0</formula>
    </cfRule>
  </conditionalFormatting>
  <conditionalFormatting sqref="T301:T303">
    <cfRule type="cellIs" dxfId="6" priority="64" operator="equal">
      <formula>0</formula>
    </cfRule>
  </conditionalFormatting>
  <conditionalFormatting sqref="T336:T338">
    <cfRule type="cellIs" dxfId="5" priority="61" operator="equal">
      <formula>0</formula>
    </cfRule>
  </conditionalFormatting>
  <conditionalFormatting sqref="T371:T373">
    <cfRule type="cellIs" dxfId="4" priority="58" operator="equal">
      <formula>0</formula>
    </cfRule>
  </conditionalFormatting>
  <conditionalFormatting sqref="T406:T408">
    <cfRule type="cellIs" dxfId="3" priority="55" operator="equal">
      <formula>0</formula>
    </cfRule>
  </conditionalFormatting>
  <conditionalFormatting sqref="T441:T443">
    <cfRule type="cellIs" dxfId="2" priority="52" operator="equal">
      <formula>0</formula>
    </cfRule>
  </conditionalFormatting>
  <conditionalFormatting sqref="T476:T478">
    <cfRule type="cellIs" dxfId="1" priority="49" operator="equal">
      <formula>0</formula>
    </cfRule>
  </conditionalFormatting>
  <conditionalFormatting sqref="F21:W27 F29:W41 F43:W51 F56:W62 F64:W76 F78:W86 F91:W97 F126:W132 F134:W146 F148:W156 F161:W167 F196:W202 F231:W237 F266:W272 F301:W307 F169:W181 F183:W191 F204:W216 F218:W226 F239:W251 F253:W261 F274:W286 F288:W296 F309:W321 F323:W331 F336:W342 F371:W377 F406:W412 F441:W447 F476:W482 F344:W356 F358:W366 F379:W391 F393:W401 F414:W426 F428:W436 F449:W461 F463:W471 F484:W496 F498:W506 F99:W111 F113:W121">
    <cfRule type="containsBlanks" dxfId="0" priority="1">
      <formula>LEN(TRIM(#REF!))=0</formula>
    </cfRule>
  </conditionalFormatting>
  <hyperlinks>
    <hyperlink ref="E11" r:id="rId1" xr:uid="{00000000-0004-0000-0D00-00000000000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3489" r:id="rId5" name="Spinner 1">
              <controlPr defaultSize="0" autoPict="0">
                <anchor moveWithCells="1" sizeWithCells="1">
                  <from>
                    <xdr:col>13</xdr:col>
                    <xdr:colOff>617220</xdr:colOff>
                    <xdr:row>3</xdr:row>
                    <xdr:rowOff>0</xdr:rowOff>
                  </from>
                  <to>
                    <xdr:col>13</xdr:col>
                    <xdr:colOff>861060</xdr:colOff>
                    <xdr:row>5</xdr:row>
                    <xdr:rowOff>0</xdr:rowOff>
                  </to>
                </anchor>
              </controlPr>
            </control>
          </mc:Choice>
        </mc:AlternateContent>
        <mc:AlternateContent xmlns:mc="http://schemas.openxmlformats.org/markup-compatibility/2006">
          <mc:Choice Requires="x14">
            <control shapeId="63490" r:id="rId6" name="Spinner 2">
              <controlPr defaultSize="0" autoPict="0">
                <anchor moveWithCells="1" sizeWithCells="1">
                  <from>
                    <xdr:col>3</xdr:col>
                    <xdr:colOff>236220</xdr:colOff>
                    <xdr:row>3</xdr:row>
                    <xdr:rowOff>0</xdr:rowOff>
                  </from>
                  <to>
                    <xdr:col>3</xdr:col>
                    <xdr:colOff>480060</xdr:colOff>
                    <xdr:row>4</xdr:row>
                    <xdr:rowOff>327660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22">
    <tabColor rgb="FF4D7731"/>
  </sheetPr>
  <dimension ref="A1:AZ159"/>
  <sheetViews>
    <sheetView showGridLines="0" zoomScale="85" zoomScaleNormal="85" workbookViewId="0">
      <pane xSplit="1" topLeftCell="B1" activePane="topRight" state="frozen"/>
      <selection activeCell="A32" sqref="A32"/>
      <selection pane="topRight" activeCell="E1" sqref="E1"/>
    </sheetView>
  </sheetViews>
  <sheetFormatPr baseColWidth="10" defaultRowHeight="14.4" outlineLevelCol="1"/>
  <cols>
    <col min="1" max="1" width="44.6640625" customWidth="1"/>
    <col min="3" max="6" width="0" hidden="1" customWidth="1" outlineLevel="1"/>
    <col min="7" max="7" width="11.5546875" collapsed="1"/>
    <col min="8" max="11" width="0" hidden="1" customWidth="1" outlineLevel="1"/>
    <col min="12" max="12" width="11.5546875" collapsed="1"/>
    <col min="13" max="16" width="0" hidden="1" customWidth="1" outlineLevel="1"/>
    <col min="17" max="17" width="11.5546875" collapsed="1"/>
    <col min="18" max="21" width="0" hidden="1" customWidth="1" outlineLevel="1"/>
    <col min="22" max="22" width="11.5546875" collapsed="1"/>
    <col min="23" max="26" width="0" hidden="1" customWidth="1" outlineLevel="1"/>
    <col min="27" max="27" width="11.5546875" collapsed="1"/>
  </cols>
  <sheetData>
    <row r="1" spans="1:44" ht="25.8">
      <c r="A1" s="4" t="s">
        <v>30</v>
      </c>
      <c r="B1" s="5" t="s">
        <v>31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44" ht="15">
      <c r="A2" s="676" t="s">
        <v>1078</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7"/>
      <c r="AE2" s="7"/>
      <c r="AF2" s="7"/>
      <c r="AG2" s="7"/>
      <c r="AH2" s="7"/>
    </row>
    <row r="3" spans="1:44" ht="15">
      <c r="A3" s="8" t="s">
        <v>32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row>
    <row r="4" spans="1:44" ht="22.2">
      <c r="A4" s="9"/>
      <c r="B4" s="10"/>
      <c r="C4" s="10"/>
      <c r="D4" s="10"/>
      <c r="E4" s="10"/>
      <c r="F4" s="10"/>
      <c r="G4" s="10"/>
      <c r="H4" s="10"/>
      <c r="I4" s="10"/>
      <c r="J4" s="10"/>
      <c r="K4" s="10"/>
      <c r="L4" s="10"/>
      <c r="M4" s="10"/>
      <c r="N4" s="10"/>
      <c r="O4" s="10"/>
      <c r="P4" s="10"/>
      <c r="Q4" s="10"/>
      <c r="R4" s="10"/>
      <c r="S4" s="10"/>
      <c r="T4" s="10"/>
      <c r="U4" s="10"/>
      <c r="V4" s="10"/>
      <c r="W4" s="10"/>
      <c r="X4" s="10"/>
      <c r="Y4" s="10"/>
      <c r="Z4" s="11"/>
      <c r="AA4" s="11"/>
      <c r="AB4" s="11"/>
      <c r="AC4" s="12"/>
      <c r="AD4" s="12"/>
      <c r="AE4" s="12"/>
      <c r="AF4" s="12"/>
      <c r="AG4" s="12"/>
      <c r="AH4" s="12"/>
    </row>
    <row r="5" spans="1:44" ht="18">
      <c r="A5" s="13" t="s">
        <v>33</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675" t="s">
        <v>117</v>
      </c>
      <c r="AJ5" s="675"/>
      <c r="AK5" s="675"/>
      <c r="AL5" s="675"/>
      <c r="AM5" s="675"/>
      <c r="AN5" s="675"/>
      <c r="AO5" s="675"/>
      <c r="AP5" s="675"/>
      <c r="AQ5" s="675"/>
      <c r="AR5" s="675"/>
    </row>
    <row r="6" spans="1:44" ht="26.4">
      <c r="A6" s="15" t="s">
        <v>34</v>
      </c>
      <c r="B6" s="16">
        <v>1990</v>
      </c>
      <c r="C6" s="16">
        <v>1991</v>
      </c>
      <c r="D6" s="16">
        <v>1992</v>
      </c>
      <c r="E6" s="16">
        <v>1993</v>
      </c>
      <c r="F6" s="16">
        <v>1994</v>
      </c>
      <c r="G6" s="16">
        <v>1995</v>
      </c>
      <c r="H6" s="16">
        <v>1996</v>
      </c>
      <c r="I6" s="16">
        <v>1997</v>
      </c>
      <c r="J6" s="16">
        <v>1998</v>
      </c>
      <c r="K6" s="16">
        <v>1999</v>
      </c>
      <c r="L6" s="16">
        <v>2000</v>
      </c>
      <c r="M6" s="16">
        <v>2001</v>
      </c>
      <c r="N6" s="16">
        <v>2002</v>
      </c>
      <c r="O6" s="16">
        <v>2003</v>
      </c>
      <c r="P6" s="16">
        <v>2004</v>
      </c>
      <c r="Q6" s="16">
        <v>2005</v>
      </c>
      <c r="R6" s="16">
        <v>2006</v>
      </c>
      <c r="S6" s="16">
        <v>2007</v>
      </c>
      <c r="T6" s="16">
        <v>2008</v>
      </c>
      <c r="U6" s="16">
        <v>2009</v>
      </c>
      <c r="V6" s="16">
        <v>2010</v>
      </c>
      <c r="W6" s="16">
        <v>2011</v>
      </c>
      <c r="X6" s="16">
        <v>2012</v>
      </c>
      <c r="Y6" s="16">
        <v>2013</v>
      </c>
      <c r="Z6" s="16">
        <v>2014</v>
      </c>
      <c r="AA6" s="16">
        <v>2015</v>
      </c>
      <c r="AB6" s="16">
        <v>2016</v>
      </c>
      <c r="AC6" s="16">
        <v>2017</v>
      </c>
      <c r="AD6" s="16">
        <v>2018</v>
      </c>
      <c r="AE6" s="16">
        <v>2019</v>
      </c>
      <c r="AF6" s="17">
        <v>2020</v>
      </c>
      <c r="AG6" s="17">
        <v>2021</v>
      </c>
      <c r="AH6" s="17">
        <v>2022</v>
      </c>
      <c r="AI6" s="16">
        <v>2023</v>
      </c>
      <c r="AJ6" s="86">
        <v>2025</v>
      </c>
      <c r="AK6" s="16">
        <v>2028</v>
      </c>
      <c r="AL6" s="86">
        <v>2030</v>
      </c>
      <c r="AM6" s="86">
        <v>2033</v>
      </c>
      <c r="AN6" s="16">
        <v>2035</v>
      </c>
      <c r="AO6" s="86">
        <v>2038</v>
      </c>
      <c r="AP6" s="16">
        <v>2040</v>
      </c>
      <c r="AQ6" s="86">
        <v>2045</v>
      </c>
      <c r="AR6" s="86">
        <v>2050</v>
      </c>
    </row>
    <row r="7" spans="1:44">
      <c r="A7" s="18" t="s">
        <v>35</v>
      </c>
      <c r="B7" s="19">
        <v>78.859972817022268</v>
      </c>
      <c r="C7" s="19">
        <v>80.097799391380178</v>
      </c>
      <c r="D7" s="19">
        <v>81.365301001157519</v>
      </c>
      <c r="E7" s="19">
        <v>69.072838516579253</v>
      </c>
      <c r="F7" s="19">
        <v>65.97965027623566</v>
      </c>
      <c r="G7" s="19">
        <v>68.507677925511715</v>
      </c>
      <c r="H7" s="19">
        <v>72.086317331830045</v>
      </c>
      <c r="I7" s="19">
        <v>67.711325303069401</v>
      </c>
      <c r="J7" s="19">
        <v>80.071959583941421</v>
      </c>
      <c r="K7" s="19">
        <v>73.101941976488931</v>
      </c>
      <c r="L7" s="19">
        <v>71.718576752588234</v>
      </c>
      <c r="M7" s="19">
        <v>64.836927982864452</v>
      </c>
      <c r="N7" s="19">
        <v>67.332770528174166</v>
      </c>
      <c r="O7" s="19">
        <v>70.722842984490768</v>
      </c>
      <c r="P7" s="19">
        <v>69.257316141735942</v>
      </c>
      <c r="Q7" s="19">
        <v>74.384558523212746</v>
      </c>
      <c r="R7" s="19">
        <v>70.203271973867828</v>
      </c>
      <c r="S7" s="19">
        <v>69.773792607903033</v>
      </c>
      <c r="T7" s="19">
        <v>68.920699412350046</v>
      </c>
      <c r="U7" s="19">
        <v>66.768415317192421</v>
      </c>
      <c r="V7" s="19">
        <v>66.992354945714666</v>
      </c>
      <c r="W7" s="19">
        <v>61.197860459073688</v>
      </c>
      <c r="X7" s="19">
        <v>62.880195583499848</v>
      </c>
      <c r="Y7" s="19">
        <v>60.840541000468903</v>
      </c>
      <c r="Z7" s="19">
        <v>47.201558185714156</v>
      </c>
      <c r="AA7" s="19">
        <v>49.959848473672452</v>
      </c>
      <c r="AB7" s="19">
        <v>53.517842871758141</v>
      </c>
      <c r="AC7" s="19">
        <v>57.253489905193895</v>
      </c>
      <c r="AD7" s="19">
        <v>47.876778257654045</v>
      </c>
      <c r="AE7" s="19">
        <v>46.038323825404987</v>
      </c>
      <c r="AF7" s="19">
        <v>40.929014765383648</v>
      </c>
      <c r="AG7" s="19">
        <v>42.117398957090806</v>
      </c>
      <c r="AH7" s="19">
        <v>43.127676106651343</v>
      </c>
      <c r="AI7" s="81">
        <v>35.35645125461</v>
      </c>
      <c r="AJ7" s="81">
        <v>35.810722673977729</v>
      </c>
      <c r="AK7" s="81">
        <v>32.736718088615198</v>
      </c>
      <c r="AL7" s="81">
        <v>30.083915110635569</v>
      </c>
      <c r="AM7" s="81">
        <v>29.981261525698507</v>
      </c>
      <c r="AN7" s="81">
        <v>29.914046604286273</v>
      </c>
      <c r="AO7" s="81">
        <v>29.645070033779799</v>
      </c>
      <c r="AP7" s="81">
        <v>29.430478747412643</v>
      </c>
      <c r="AQ7" s="81">
        <v>29.182783060217183</v>
      </c>
      <c r="AR7" s="81">
        <v>28.678420578784227</v>
      </c>
    </row>
    <row r="8" spans="1:44">
      <c r="A8" s="18" t="s">
        <v>36</v>
      </c>
      <c r="B8" s="19">
        <v>140.20426488930769</v>
      </c>
      <c r="C8" s="19">
        <v>152.47294139622102</v>
      </c>
      <c r="D8" s="19">
        <v>139.94124471237242</v>
      </c>
      <c r="E8" s="19">
        <v>134.37851978834348</v>
      </c>
      <c r="F8" s="19">
        <v>135.3062253924266</v>
      </c>
      <c r="G8" s="19">
        <v>135.97676479990071</v>
      </c>
      <c r="H8" s="19">
        <v>138.05850650689146</v>
      </c>
      <c r="I8" s="19">
        <v>136.87443208220526</v>
      </c>
      <c r="J8" s="19">
        <v>130.83866816314773</v>
      </c>
      <c r="K8" s="19">
        <v>128.08056155405319</v>
      </c>
      <c r="L8" s="19">
        <v>124.85793820141475</v>
      </c>
      <c r="M8" s="19">
        <v>127.86747086084016</v>
      </c>
      <c r="N8" s="19">
        <v>123.93209741581964</v>
      </c>
      <c r="O8" s="19">
        <v>122.51525711359294</v>
      </c>
      <c r="P8" s="19">
        <v>117.33346794432536</v>
      </c>
      <c r="Q8" s="19">
        <v>117.99366637977904</v>
      </c>
      <c r="R8" s="19">
        <v>117.16560623737664</v>
      </c>
      <c r="S8" s="19">
        <v>115.90314478266777</v>
      </c>
      <c r="T8" s="19">
        <v>108.68578633204564</v>
      </c>
      <c r="U8" s="19">
        <v>89.604584427906573</v>
      </c>
      <c r="V8" s="19">
        <v>95.461415712557994</v>
      </c>
      <c r="W8" s="19">
        <v>91.432478503938867</v>
      </c>
      <c r="X8" s="19">
        <v>88.05760857563169</v>
      </c>
      <c r="Y8" s="19">
        <v>89.306004390893179</v>
      </c>
      <c r="Z8" s="19">
        <v>86.293782908441543</v>
      </c>
      <c r="AA8" s="19">
        <v>83.720900714815514</v>
      </c>
      <c r="AB8" s="19">
        <v>83.519882085194496</v>
      </c>
      <c r="AC8" s="19">
        <v>83.185691206475695</v>
      </c>
      <c r="AD8" s="19">
        <v>81.683737955455896</v>
      </c>
      <c r="AE8" s="19">
        <v>78.99094903199699</v>
      </c>
      <c r="AF8" s="19">
        <v>70.283794167002739</v>
      </c>
      <c r="AG8" s="19">
        <v>77.230054879266447</v>
      </c>
      <c r="AH8" s="19">
        <v>70.993823202080051</v>
      </c>
      <c r="AI8" s="81">
        <v>67.721791357420713</v>
      </c>
      <c r="AJ8" s="81">
        <v>67.766557056496694</v>
      </c>
      <c r="AK8" s="81">
        <v>63.727550054520833</v>
      </c>
      <c r="AL8" s="81">
        <v>61.156223194127314</v>
      </c>
      <c r="AM8" s="81">
        <v>60.514943214657237</v>
      </c>
      <c r="AN8" s="81">
        <v>60.059078506370348</v>
      </c>
      <c r="AO8" s="81">
        <v>59.614822602418812</v>
      </c>
      <c r="AP8" s="81">
        <v>59.31776265831715</v>
      </c>
      <c r="AQ8" s="81">
        <v>58.413374147362191</v>
      </c>
      <c r="AR8" s="81">
        <v>62.073011388944387</v>
      </c>
    </row>
    <row r="9" spans="1:44">
      <c r="A9" s="18" t="s">
        <v>37</v>
      </c>
      <c r="B9" s="19">
        <v>15.490991163839283</v>
      </c>
      <c r="C9" s="19">
        <v>16.158385017615615</v>
      </c>
      <c r="D9" s="19">
        <v>16.902680818870309</v>
      </c>
      <c r="E9" s="19">
        <v>17.635967920603058</v>
      </c>
      <c r="F9" s="19">
        <v>17.962415125090313</v>
      </c>
      <c r="G9" s="19">
        <v>18.157059072275494</v>
      </c>
      <c r="H9" s="19">
        <v>18.163148969924237</v>
      </c>
      <c r="I9" s="19">
        <v>18.114633434551791</v>
      </c>
      <c r="J9" s="19">
        <v>18.511426670396823</v>
      </c>
      <c r="K9" s="19">
        <v>18.726474198964809</v>
      </c>
      <c r="L9" s="19">
        <v>19.11080120870399</v>
      </c>
      <c r="M9" s="19">
        <v>19.324313039114102</v>
      </c>
      <c r="N9" s="19">
        <v>19.579407069396371</v>
      </c>
      <c r="O9" s="19">
        <v>19.732719980497627</v>
      </c>
      <c r="P9" s="19">
        <v>19.590420524223319</v>
      </c>
      <c r="Q9" s="19">
        <v>19.429222818883854</v>
      </c>
      <c r="R9" s="19">
        <v>19.387874415975581</v>
      </c>
      <c r="S9" s="19">
        <v>19.23812156553992</v>
      </c>
      <c r="T9" s="19">
        <v>19.235460902912912</v>
      </c>
      <c r="U9" s="19">
        <v>18.567355102773671</v>
      </c>
      <c r="V9" s="19">
        <v>18.612280113501178</v>
      </c>
      <c r="W9" s="19">
        <v>17.720041941301464</v>
      </c>
      <c r="X9" s="19">
        <v>17.374057800284444</v>
      </c>
      <c r="Y9" s="19">
        <v>15.6940493834626</v>
      </c>
      <c r="Z9" s="19">
        <v>15.019321342560893</v>
      </c>
      <c r="AA9" s="19">
        <v>14.034533794755328</v>
      </c>
      <c r="AB9" s="19">
        <v>14.138948182103737</v>
      </c>
      <c r="AC9" s="19">
        <v>14.221576951156649</v>
      </c>
      <c r="AD9" s="19">
        <v>13.956237946287384</v>
      </c>
      <c r="AE9" s="19">
        <v>14.857945887185432</v>
      </c>
      <c r="AF9" s="19">
        <v>14.795939975918943</v>
      </c>
      <c r="AG9" s="19">
        <v>14.288136693550864</v>
      </c>
      <c r="AH9" s="19">
        <v>14.406118388937058</v>
      </c>
      <c r="AI9" s="81">
        <v>14.210116991531788</v>
      </c>
      <c r="AJ9" s="81">
        <v>13.881395031446843</v>
      </c>
      <c r="AK9" s="81">
        <v>13.273326554282221</v>
      </c>
      <c r="AL9" s="81">
        <v>12.396652394298224</v>
      </c>
      <c r="AM9" s="81">
        <v>11.520866719040784</v>
      </c>
      <c r="AN9" s="81">
        <v>11.019088320097502</v>
      </c>
      <c r="AO9" s="81">
        <v>10.354554868891203</v>
      </c>
      <c r="AP9" s="81">
        <v>9.957204097602764</v>
      </c>
      <c r="AQ9" s="81">
        <v>9.104318129867945</v>
      </c>
      <c r="AR9" s="81">
        <v>8.3603888755995968</v>
      </c>
    </row>
    <row r="10" spans="1:44">
      <c r="A10" s="18" t="s">
        <v>38</v>
      </c>
      <c r="B10" s="19">
        <v>92.874877571251091</v>
      </c>
      <c r="C10" s="19">
        <v>102.52710445751836</v>
      </c>
      <c r="D10" s="19">
        <v>98.699081272157827</v>
      </c>
      <c r="E10" s="20">
        <v>95.072271506401009</v>
      </c>
      <c r="F10" s="20">
        <v>88.567254024688509</v>
      </c>
      <c r="G10" s="20">
        <v>88.496812700501607</v>
      </c>
      <c r="H10" s="20">
        <v>98.453204604809301</v>
      </c>
      <c r="I10" s="20">
        <v>93.544009263887247</v>
      </c>
      <c r="J10" s="20">
        <v>98.261334724382635</v>
      </c>
      <c r="K10" s="20">
        <v>99.981508476616611</v>
      </c>
      <c r="L10" s="20">
        <v>96.522587919284319</v>
      </c>
      <c r="M10" s="20">
        <v>102.39923822251706</v>
      </c>
      <c r="N10" s="20">
        <v>98.187964995430335</v>
      </c>
      <c r="O10" s="20">
        <v>103.91721982848553</v>
      </c>
      <c r="P10" s="20">
        <v>108.81495861523788</v>
      </c>
      <c r="Q10" s="20">
        <v>107.83614035341245</v>
      </c>
      <c r="R10" s="20">
        <v>103.28239319679059</v>
      </c>
      <c r="S10" s="20">
        <v>95.984452701397373</v>
      </c>
      <c r="T10" s="20">
        <v>103.13372051428499</v>
      </c>
      <c r="U10" s="20">
        <v>105.40993174504328</v>
      </c>
      <c r="V10" s="20">
        <v>104.34690263049822</v>
      </c>
      <c r="W10" s="20">
        <v>89.491598738578347</v>
      </c>
      <c r="X10" s="20">
        <v>95.350503168449251</v>
      </c>
      <c r="Y10" s="20">
        <v>97.820396711152284</v>
      </c>
      <c r="Z10" s="20">
        <v>81.541228387880111</v>
      </c>
      <c r="AA10" s="20">
        <v>84.971889385143172</v>
      </c>
      <c r="AB10" s="20">
        <v>84.740666974485436</v>
      </c>
      <c r="AC10" s="20">
        <v>84.110551168192586</v>
      </c>
      <c r="AD10" s="20">
        <v>80.016673272326557</v>
      </c>
      <c r="AE10" s="20">
        <v>76.465409447093833</v>
      </c>
      <c r="AF10" s="20">
        <v>72.089523175256502</v>
      </c>
      <c r="AG10" s="20">
        <v>74.367845776973581</v>
      </c>
      <c r="AH10" s="20">
        <v>61.748670124013522</v>
      </c>
      <c r="AI10" s="81">
        <v>58.084727859015885</v>
      </c>
      <c r="AJ10" s="81">
        <v>52.862007909393817</v>
      </c>
      <c r="AK10" s="81">
        <v>47.328539182492641</v>
      </c>
      <c r="AL10" s="81">
        <v>43.670239188872969</v>
      </c>
      <c r="AM10" s="81">
        <v>40.549680741093219</v>
      </c>
      <c r="AN10" s="81">
        <v>38.374528549679191</v>
      </c>
      <c r="AO10" s="81">
        <v>36.200114875858262</v>
      </c>
      <c r="AP10" s="81">
        <v>34.832659002815276</v>
      </c>
      <c r="AQ10" s="81">
        <v>32.085436250275052</v>
      </c>
      <c r="AR10" s="81">
        <v>29.613401111607821</v>
      </c>
    </row>
    <row r="11" spans="1:44">
      <c r="A11" s="18" t="s">
        <v>39</v>
      </c>
      <c r="B11" s="19">
        <v>88.724672746604355</v>
      </c>
      <c r="C11" s="19">
        <v>87.833138820696135</v>
      </c>
      <c r="D11" s="19">
        <v>87.47569817544462</v>
      </c>
      <c r="E11" s="19">
        <v>86.396170576554724</v>
      </c>
      <c r="F11" s="19">
        <v>85.583148881004547</v>
      </c>
      <c r="G11" s="19">
        <v>86.297102507116563</v>
      </c>
      <c r="H11" s="19">
        <v>87.198820819732347</v>
      </c>
      <c r="I11" s="19">
        <v>87.261205037506528</v>
      </c>
      <c r="J11" s="19">
        <v>87.437656844667799</v>
      </c>
      <c r="K11" s="19">
        <v>87.810766265077859</v>
      </c>
      <c r="L11" s="19">
        <v>90.191419503973179</v>
      </c>
      <c r="M11" s="19">
        <v>89.971305753595217</v>
      </c>
      <c r="N11" s="19">
        <v>88.11527067397833</v>
      </c>
      <c r="O11" s="19">
        <v>84.817354285344166</v>
      </c>
      <c r="P11" s="19">
        <v>86.020827569886691</v>
      </c>
      <c r="Q11" s="19">
        <v>85.298378020586114</v>
      </c>
      <c r="R11" s="19">
        <v>84.465202560587286</v>
      </c>
      <c r="S11" s="19">
        <v>84.827242499745495</v>
      </c>
      <c r="T11" s="19">
        <v>86.72333411937791</v>
      </c>
      <c r="U11" s="19">
        <v>85.772433360082957</v>
      </c>
      <c r="V11" s="19">
        <v>83.318379931494121</v>
      </c>
      <c r="W11" s="19">
        <v>82.891567424245522</v>
      </c>
      <c r="X11" s="19">
        <v>82.147206874792616</v>
      </c>
      <c r="Y11" s="19">
        <v>82.049202758792006</v>
      </c>
      <c r="Z11" s="19">
        <v>83.61403348913484</v>
      </c>
      <c r="AA11" s="19">
        <v>83.22197372666966</v>
      </c>
      <c r="AB11" s="19">
        <v>81.776824435002922</v>
      </c>
      <c r="AC11" s="19">
        <v>81.404124552784197</v>
      </c>
      <c r="AD11" s="19">
        <v>80.515935483613319</v>
      </c>
      <c r="AE11" s="19">
        <v>78.587923909264248</v>
      </c>
      <c r="AF11" s="19">
        <v>78.212947130801311</v>
      </c>
      <c r="AG11" s="19">
        <v>76.403934099947065</v>
      </c>
      <c r="AH11" s="19">
        <v>74.1886650413594</v>
      </c>
      <c r="AI11" s="81">
        <v>73.802847889185387</v>
      </c>
      <c r="AJ11" s="81">
        <v>72.63571872637668</v>
      </c>
      <c r="AK11" s="81">
        <v>70.958741907858325</v>
      </c>
      <c r="AL11" s="81">
        <v>69.838705046929022</v>
      </c>
      <c r="AM11" s="81">
        <v>68.467076013356404</v>
      </c>
      <c r="AN11" s="81">
        <v>67.557276667210573</v>
      </c>
      <c r="AO11" s="81">
        <v>66.200983558020098</v>
      </c>
      <c r="AP11" s="81">
        <v>65.299599743292248</v>
      </c>
      <c r="AQ11" s="81">
        <v>63.054679838356215</v>
      </c>
      <c r="AR11" s="81">
        <v>60.782561347349336</v>
      </c>
    </row>
    <row r="12" spans="1:44">
      <c r="A12" s="18" t="s">
        <v>40</v>
      </c>
      <c r="B12" s="19">
        <v>123.33950842208522</v>
      </c>
      <c r="C12" s="19">
        <v>126.09241675685783</v>
      </c>
      <c r="D12" s="19">
        <v>130.47364279033297</v>
      </c>
      <c r="E12" s="19">
        <v>130.74733496110434</v>
      </c>
      <c r="F12" s="19">
        <v>131.64716581193559</v>
      </c>
      <c r="G12" s="19">
        <v>133.52726857969847</v>
      </c>
      <c r="H12" s="19">
        <v>135.23804154715589</v>
      </c>
      <c r="I12" s="19">
        <v>137.94004456881041</v>
      </c>
      <c r="J12" s="19">
        <v>140.38279001698004</v>
      </c>
      <c r="K12" s="19">
        <v>142.91810730411336</v>
      </c>
      <c r="L12" s="19">
        <v>142.67973250878811</v>
      </c>
      <c r="M12" s="19">
        <v>145.94336061637537</v>
      </c>
      <c r="N12" s="19">
        <v>146.93692676722404</v>
      </c>
      <c r="O12" s="19">
        <v>146.64382164968714</v>
      </c>
      <c r="P12" s="19">
        <v>147.15902666447823</v>
      </c>
      <c r="Q12" s="19">
        <v>144.75506608697978</v>
      </c>
      <c r="R12" s="19">
        <v>144.60972657724497</v>
      </c>
      <c r="S12" s="19">
        <v>143.36468861886729</v>
      </c>
      <c r="T12" s="19">
        <v>136.83762280941139</v>
      </c>
      <c r="U12" s="19">
        <v>136.44468851232611</v>
      </c>
      <c r="V12" s="19">
        <v>137.41863227331081</v>
      </c>
      <c r="W12" s="19">
        <v>138.63944940027409</v>
      </c>
      <c r="X12" s="19">
        <v>137.09583655451664</v>
      </c>
      <c r="Y12" s="19">
        <v>136.68349771408455</v>
      </c>
      <c r="Z12" s="19">
        <v>136.27381517884476</v>
      </c>
      <c r="AA12" s="19">
        <v>137.71690590366759</v>
      </c>
      <c r="AB12" s="19">
        <v>137.91345149136032</v>
      </c>
      <c r="AC12" s="19">
        <v>138.01265745746164</v>
      </c>
      <c r="AD12" s="19">
        <v>135.04319715108613</v>
      </c>
      <c r="AE12" s="19">
        <v>134.06598165533677</v>
      </c>
      <c r="AF12" s="19">
        <v>113.17512040599819</v>
      </c>
      <c r="AG12" s="19">
        <v>127.21809118423961</v>
      </c>
      <c r="AH12" s="19">
        <v>131.20878901346353</v>
      </c>
      <c r="AI12" s="81">
        <v>128.50693238693535</v>
      </c>
      <c r="AJ12" s="81">
        <v>123.46570962936359</v>
      </c>
      <c r="AK12" s="81">
        <v>114.74380918585766</v>
      </c>
      <c r="AL12" s="81">
        <v>109.00557054160105</v>
      </c>
      <c r="AM12" s="81">
        <v>96.735689833820757</v>
      </c>
      <c r="AN12" s="81">
        <v>88.613064267019524</v>
      </c>
      <c r="AO12" s="81">
        <v>74.362349024871463</v>
      </c>
      <c r="AP12" s="81">
        <v>64.880745210231453</v>
      </c>
      <c r="AQ12" s="81">
        <v>47.732033706617138</v>
      </c>
      <c r="AR12" s="81">
        <v>40.427242693307271</v>
      </c>
    </row>
    <row r="13" spans="1:44">
      <c r="A13" s="21" t="s">
        <v>41</v>
      </c>
      <c r="B13" s="22">
        <v>17.543385576099791</v>
      </c>
      <c r="C13" s="22">
        <v>17.484507115062399</v>
      </c>
      <c r="D13" s="22">
        <v>18.652278201106949</v>
      </c>
      <c r="E13" s="22">
        <v>18.691523735666117</v>
      </c>
      <c r="F13" s="22">
        <v>18.2411960445991</v>
      </c>
      <c r="G13" s="22">
        <v>18.558428947974825</v>
      </c>
      <c r="H13" s="22">
        <v>19.650370855077512</v>
      </c>
      <c r="I13" s="22">
        <v>20.713465667513425</v>
      </c>
      <c r="J13" s="22">
        <v>22.303329730174838</v>
      </c>
      <c r="K13" s="22">
        <v>23.723964389590634</v>
      </c>
      <c r="L13" s="22">
        <v>24.513059052570878</v>
      </c>
      <c r="M13" s="22">
        <v>23.083211402848526</v>
      </c>
      <c r="N13" s="22">
        <v>22.880185580531418</v>
      </c>
      <c r="O13" s="22">
        <v>23.636299431102177</v>
      </c>
      <c r="P13" s="22">
        <v>25.832915098487899</v>
      </c>
      <c r="Q13" s="22">
        <v>25.20195804563021</v>
      </c>
      <c r="R13" s="22">
        <v>26.389530858964182</v>
      </c>
      <c r="S13" s="22">
        <v>27.241460959530261</v>
      </c>
      <c r="T13" s="22">
        <v>26.19341945369041</v>
      </c>
      <c r="U13" s="22">
        <v>24.718271490811073</v>
      </c>
      <c r="V13" s="22">
        <v>24.531914255765113</v>
      </c>
      <c r="W13" s="22">
        <v>25.772661761234716</v>
      </c>
      <c r="X13" s="22">
        <v>24.870972195583015</v>
      </c>
      <c r="Y13" s="22">
        <v>24.049279458952558</v>
      </c>
      <c r="Z13" s="22">
        <v>23.152134878187066</v>
      </c>
      <c r="AA13" s="22">
        <v>23.418968958929071</v>
      </c>
      <c r="AB13" s="22">
        <v>22.837971864124469</v>
      </c>
      <c r="AC13" s="22">
        <v>23.431087194352479</v>
      </c>
      <c r="AD13" s="22">
        <v>24.737644896632986</v>
      </c>
      <c r="AE13" s="22">
        <v>24.841662076509898</v>
      </c>
      <c r="AF13" s="22">
        <v>11.419493126241347</v>
      </c>
      <c r="AG13" s="22">
        <v>12.638882464981515</v>
      </c>
      <c r="AH13" s="22">
        <v>17.905026166642031</v>
      </c>
      <c r="AI13" s="81">
        <v>19.751552013223982</v>
      </c>
      <c r="AJ13" s="81">
        <v>23.552596217806961</v>
      </c>
      <c r="AK13" s="81">
        <v>23.439302693278172</v>
      </c>
      <c r="AL13" s="81">
        <v>23.278839391413211</v>
      </c>
      <c r="AM13" s="81">
        <v>21.88893325767684</v>
      </c>
      <c r="AN13" s="81">
        <v>20.962647293404</v>
      </c>
      <c r="AO13" s="81">
        <v>19.986781590323798</v>
      </c>
      <c r="AP13" s="81">
        <v>19.334649357735699</v>
      </c>
      <c r="AQ13" s="81">
        <v>19.023436054893416</v>
      </c>
      <c r="AR13" s="81">
        <v>16.901847939092022</v>
      </c>
    </row>
    <row r="14" spans="1:44">
      <c r="A14" s="23" t="s">
        <v>42</v>
      </c>
      <c r="B14" s="24">
        <v>539.49428761010995</v>
      </c>
      <c r="C14" s="24">
        <v>565.18178584028919</v>
      </c>
      <c r="D14" s="24">
        <v>554.85764877033557</v>
      </c>
      <c r="E14" s="24">
        <v>533.30310326958579</v>
      </c>
      <c r="F14" s="24">
        <v>525.0458595113812</v>
      </c>
      <c r="G14" s="24">
        <v>530.96268558500458</v>
      </c>
      <c r="H14" s="24">
        <v>549.19803978034327</v>
      </c>
      <c r="I14" s="24">
        <v>541.44564969003068</v>
      </c>
      <c r="J14" s="24">
        <v>555.50383600351643</v>
      </c>
      <c r="K14" s="24">
        <v>550.61935977531482</v>
      </c>
      <c r="L14" s="24">
        <v>545.08105609475251</v>
      </c>
      <c r="M14" s="24">
        <v>550.34261647530639</v>
      </c>
      <c r="N14" s="24">
        <v>544.08443745002285</v>
      </c>
      <c r="O14" s="24">
        <v>548.34921584209815</v>
      </c>
      <c r="P14" s="24">
        <v>548.17601745988748</v>
      </c>
      <c r="Q14" s="24">
        <v>549.69703218285406</v>
      </c>
      <c r="R14" s="24">
        <v>539.1140749618429</v>
      </c>
      <c r="S14" s="24">
        <v>529.09144277612086</v>
      </c>
      <c r="T14" s="24">
        <v>523.53662409038293</v>
      </c>
      <c r="U14" s="24">
        <v>502.567408465325</v>
      </c>
      <c r="V14" s="24">
        <v>506.14996560707698</v>
      </c>
      <c r="W14" s="24">
        <v>481.37299646741201</v>
      </c>
      <c r="X14" s="24">
        <v>482.9054085571745</v>
      </c>
      <c r="Y14" s="24">
        <v>482.39369195885354</v>
      </c>
      <c r="Z14" s="24">
        <v>449.9437394925763</v>
      </c>
      <c r="AA14" s="24">
        <v>453.62605199872371</v>
      </c>
      <c r="AB14" s="24">
        <v>455.60761603990505</v>
      </c>
      <c r="AC14" s="24">
        <v>458.1880912412646</v>
      </c>
      <c r="AD14" s="24">
        <v>439.09256006642335</v>
      </c>
      <c r="AE14" s="24">
        <v>429.00653375628229</v>
      </c>
      <c r="AF14" s="24">
        <v>389.48633962036132</v>
      </c>
      <c r="AG14" s="24">
        <v>411.62546159106836</v>
      </c>
      <c r="AH14" s="24">
        <v>395.67374187650489</v>
      </c>
      <c r="AI14" s="24">
        <v>377.68286773869914</v>
      </c>
      <c r="AJ14" s="24">
        <v>366.42211102705534</v>
      </c>
      <c r="AK14" s="24">
        <v>342.76868497362688</v>
      </c>
      <c r="AL14" s="24">
        <v>326.15130547646419</v>
      </c>
      <c r="AM14" s="24">
        <v>307.76951804766696</v>
      </c>
      <c r="AN14" s="24">
        <v>295.53708291466336</v>
      </c>
      <c r="AO14" s="24">
        <v>276.37789496383965</v>
      </c>
      <c r="AP14" s="24">
        <v>263.71844945967155</v>
      </c>
      <c r="AQ14" s="24">
        <v>239.57262513269572</v>
      </c>
      <c r="AR14" s="24">
        <v>229.93502599559264</v>
      </c>
    </row>
    <row r="15" spans="1:44">
      <c r="A15" s="18" t="s">
        <v>43</v>
      </c>
      <c r="B15" s="19">
        <v>-18.289083582838114</v>
      </c>
      <c r="C15" s="19">
        <v>-18.458797598105654</v>
      </c>
      <c r="D15" s="19">
        <v>-17.279196493155872</v>
      </c>
      <c r="E15" s="19">
        <v>-21.551447361298116</v>
      </c>
      <c r="F15" s="19">
        <v>-19.337058339722276</v>
      </c>
      <c r="G15" s="19">
        <v>-22.428118643995855</v>
      </c>
      <c r="H15" s="19">
        <v>-30.03583819455989</v>
      </c>
      <c r="I15" s="19">
        <v>-31.273879419273911</v>
      </c>
      <c r="J15" s="19">
        <v>-34.512922663052919</v>
      </c>
      <c r="K15" s="19">
        <v>-39.400665713960215</v>
      </c>
      <c r="L15" s="19">
        <v>-23.057051973314781</v>
      </c>
      <c r="M15" s="19">
        <v>-37.572549214547607</v>
      </c>
      <c r="N15" s="19">
        <v>-47.310663705880408</v>
      </c>
      <c r="O15" s="19">
        <v>-51.928550164738574</v>
      </c>
      <c r="P15" s="19">
        <v>-53.738742343653541</v>
      </c>
      <c r="Q15" s="19">
        <v>-52.785060763562271</v>
      </c>
      <c r="R15" s="19">
        <v>-52.134493105047589</v>
      </c>
      <c r="S15" s="19">
        <v>-47.820693673570204</v>
      </c>
      <c r="T15" s="19">
        <v>-46.527047108280577</v>
      </c>
      <c r="U15" s="19">
        <v>-34.971553363468615</v>
      </c>
      <c r="V15" s="19">
        <v>-36.640278785293887</v>
      </c>
      <c r="W15" s="19">
        <v>-37.710259048898472</v>
      </c>
      <c r="X15" s="19">
        <v>-41.204587940670741</v>
      </c>
      <c r="Y15" s="19">
        <v>-46.027672091307679</v>
      </c>
      <c r="Z15" s="19">
        <v>-39.688287076917149</v>
      </c>
      <c r="AA15" s="19">
        <v>-36.367189546231664</v>
      </c>
      <c r="AB15" s="19">
        <v>-30.310343308726694</v>
      </c>
      <c r="AC15" s="19">
        <v>-19.444307120145108</v>
      </c>
      <c r="AD15" s="19">
        <v>-24.382457568838547</v>
      </c>
      <c r="AE15" s="19">
        <v>-18.611424715966596</v>
      </c>
      <c r="AF15" s="19">
        <v>-21.354158136859631</v>
      </c>
      <c r="AG15" s="19">
        <v>-19.045193918143728</v>
      </c>
      <c r="AH15" s="19">
        <v>-18.499748838313884</v>
      </c>
      <c r="AI15" s="82">
        <v>-15.304625719655458</v>
      </c>
      <c r="AJ15" s="81">
        <v>-11.793116428867634</v>
      </c>
      <c r="AK15" s="82">
        <v>-8.5878283321867546</v>
      </c>
      <c r="AL15" s="81">
        <v>-6.4808924487126722</v>
      </c>
      <c r="AM15" s="81">
        <v>-7.0000074526532829</v>
      </c>
      <c r="AN15" s="82">
        <v>-6.9484563247446021</v>
      </c>
      <c r="AO15" s="81">
        <v>-5.7779358699470338</v>
      </c>
      <c r="AP15" s="82">
        <v>-5.2584350031999199</v>
      </c>
      <c r="AQ15" s="81">
        <v>-4.3806012929564515</v>
      </c>
      <c r="AR15" s="81">
        <v>-3.5810964155487754</v>
      </c>
    </row>
    <row r="16" spans="1:44">
      <c r="A16" s="21" t="s">
        <v>44</v>
      </c>
      <c r="B16" s="22">
        <v>3.2369183832628603</v>
      </c>
      <c r="C16" s="22">
        <v>3.2557723444055564</v>
      </c>
      <c r="D16" s="22">
        <v>3.2445932599140015</v>
      </c>
      <c r="E16" s="22">
        <v>3.2932689856927828</v>
      </c>
      <c r="F16" s="22">
        <v>3.3343834380954314</v>
      </c>
      <c r="G16" s="22">
        <v>3.3393606289325994</v>
      </c>
      <c r="H16" s="22">
        <v>3.3441451024409683</v>
      </c>
      <c r="I16" s="22">
        <v>3.3798217719399961</v>
      </c>
      <c r="J16" s="22">
        <v>3.5176382225624221</v>
      </c>
      <c r="K16" s="22">
        <v>3.5479937217473245</v>
      </c>
      <c r="L16" s="22">
        <v>3.6896160156265219</v>
      </c>
      <c r="M16" s="22">
        <v>3.4508933748612072</v>
      </c>
      <c r="N16" s="22">
        <v>4.3736910498521642</v>
      </c>
      <c r="O16" s="22">
        <v>3.6105235870090455</v>
      </c>
      <c r="P16" s="22">
        <v>3.6173094108409214</v>
      </c>
      <c r="Q16" s="22">
        <v>3.5107688946977014</v>
      </c>
      <c r="R16" s="22">
        <v>3.7587208048046454</v>
      </c>
      <c r="S16" s="22">
        <v>3.8214465177396879</v>
      </c>
      <c r="T16" s="22">
        <v>3.7333089798158281</v>
      </c>
      <c r="U16" s="22">
        <v>3.7925422082788209</v>
      </c>
      <c r="V16" s="22">
        <v>3.8073947983399963</v>
      </c>
      <c r="W16" s="22">
        <v>3.7610016390117926</v>
      </c>
      <c r="X16" s="22">
        <v>3.7894576246390712</v>
      </c>
      <c r="Y16" s="22">
        <v>3.8018355746548758</v>
      </c>
      <c r="Z16" s="22">
        <v>3.8236418557456515</v>
      </c>
      <c r="AA16" s="22">
        <v>3.8279777005928985</v>
      </c>
      <c r="AB16" s="22">
        <v>3.8315764052410364</v>
      </c>
      <c r="AC16" s="22">
        <v>3.8369763743836192</v>
      </c>
      <c r="AD16" s="22">
        <v>3.8374276465924182</v>
      </c>
      <c r="AE16" s="22">
        <v>3.8513979633614372</v>
      </c>
      <c r="AF16" s="22">
        <v>3.8531801061521191</v>
      </c>
      <c r="AG16" s="22">
        <v>3.8531801061521191</v>
      </c>
      <c r="AH16" s="22">
        <v>3.8531801061521191</v>
      </c>
      <c r="AI16" s="679" t="s">
        <v>116</v>
      </c>
      <c r="AJ16" s="679"/>
      <c r="AK16" s="679"/>
      <c r="AL16" s="679"/>
      <c r="AM16" s="679"/>
      <c r="AN16" s="679"/>
      <c r="AO16" s="679"/>
      <c r="AP16" s="679"/>
      <c r="AQ16" s="679"/>
      <c r="AR16" s="679"/>
    </row>
    <row r="17" spans="1:44">
      <c r="A17" s="23" t="s">
        <v>45</v>
      </c>
      <c r="B17" s="24">
        <v>521.20520402727186</v>
      </c>
      <c r="C17" s="24">
        <v>546.72298824218353</v>
      </c>
      <c r="D17" s="24">
        <v>537.57845227717974</v>
      </c>
      <c r="E17" s="24">
        <v>511.75165590828766</v>
      </c>
      <c r="F17" s="24">
        <v>505.70880117165893</v>
      </c>
      <c r="G17" s="24">
        <v>508.53456694100873</v>
      </c>
      <c r="H17" s="24">
        <v>519.16220158578335</v>
      </c>
      <c r="I17" s="24">
        <v>510.17177027075678</v>
      </c>
      <c r="J17" s="24">
        <v>520.99091334046352</v>
      </c>
      <c r="K17" s="24">
        <v>511.2186940613546</v>
      </c>
      <c r="L17" s="24">
        <v>522.02400412143777</v>
      </c>
      <c r="M17" s="24">
        <v>512.77006726075876</v>
      </c>
      <c r="N17" s="24">
        <v>496.77377374414243</v>
      </c>
      <c r="O17" s="24">
        <v>496.42066567735958</v>
      </c>
      <c r="P17" s="24">
        <v>494.43727511623393</v>
      </c>
      <c r="Q17" s="24">
        <v>496.91197141929177</v>
      </c>
      <c r="R17" s="24">
        <v>486.97958185679533</v>
      </c>
      <c r="S17" s="24">
        <v>481.27074910255067</v>
      </c>
      <c r="T17" s="24">
        <v>477.00957698210237</v>
      </c>
      <c r="U17" s="24">
        <v>467.59585510185639</v>
      </c>
      <c r="V17" s="24">
        <v>469.50968682178308</v>
      </c>
      <c r="W17" s="24">
        <v>443.66273741851353</v>
      </c>
      <c r="X17" s="24">
        <v>441.70082061650373</v>
      </c>
      <c r="Y17" s="24">
        <v>436.36601986754584</v>
      </c>
      <c r="Z17" s="24">
        <v>410.25545241565914</v>
      </c>
      <c r="AA17" s="24">
        <v>417.25886245249205</v>
      </c>
      <c r="AB17" s="24">
        <v>425.29727273117834</v>
      </c>
      <c r="AC17" s="24">
        <v>438.74378412111952</v>
      </c>
      <c r="AD17" s="24">
        <v>414.71010249758478</v>
      </c>
      <c r="AE17" s="24">
        <v>410.39510904031567</v>
      </c>
      <c r="AF17" s="24">
        <v>368.13218148350171</v>
      </c>
      <c r="AG17" s="24">
        <v>392.58026767292461</v>
      </c>
      <c r="AH17" s="24">
        <v>377.17399303819099</v>
      </c>
      <c r="AI17" s="146">
        <v>362.37824201904363</v>
      </c>
      <c r="AJ17" s="146">
        <v>354.62899459818772</v>
      </c>
      <c r="AK17" s="146">
        <v>334.18085664144007</v>
      </c>
      <c r="AL17" s="146">
        <v>319.67041302775147</v>
      </c>
      <c r="AM17" s="146">
        <v>300.76951059501363</v>
      </c>
      <c r="AN17" s="146">
        <v>288.58862658991876</v>
      </c>
      <c r="AO17" s="146">
        <v>270.59995909389261</v>
      </c>
      <c r="AP17" s="146">
        <v>258.46001445647164</v>
      </c>
      <c r="AQ17" s="146">
        <v>235.19202383973928</v>
      </c>
      <c r="AR17" s="146">
        <v>226.35392958004385</v>
      </c>
    </row>
    <row r="18" spans="1:44">
      <c r="A18" s="21" t="s">
        <v>46</v>
      </c>
      <c r="B18" s="22">
        <v>20.780303959362652</v>
      </c>
      <c r="C18" s="22">
        <v>20.740279459467956</v>
      </c>
      <c r="D18" s="22">
        <v>21.89687146102095</v>
      </c>
      <c r="E18" s="22">
        <v>21.9847927213589</v>
      </c>
      <c r="F18" s="22">
        <v>21.575579482694533</v>
      </c>
      <c r="G18" s="22">
        <v>21.897789576907424</v>
      </c>
      <c r="H18" s="22">
        <v>22.99451595751848</v>
      </c>
      <c r="I18" s="22">
        <v>24.09328743945342</v>
      </c>
      <c r="J18" s="22">
        <v>25.820967952737259</v>
      </c>
      <c r="K18" s="22">
        <v>27.271958111337959</v>
      </c>
      <c r="L18" s="22">
        <v>28.202675068197401</v>
      </c>
      <c r="M18" s="22">
        <v>26.534104777709732</v>
      </c>
      <c r="N18" s="22">
        <v>27.25387663038358</v>
      </c>
      <c r="O18" s="22">
        <v>27.246823018111222</v>
      </c>
      <c r="P18" s="22">
        <v>29.45022450932882</v>
      </c>
      <c r="Q18" s="22">
        <v>28.712726940327912</v>
      </c>
      <c r="R18" s="22">
        <v>30.148251663768828</v>
      </c>
      <c r="S18" s="22">
        <v>31.062907477269949</v>
      </c>
      <c r="T18" s="22">
        <v>29.926728433506238</v>
      </c>
      <c r="U18" s="22">
        <v>28.510813699089894</v>
      </c>
      <c r="V18" s="22">
        <v>28.339309054105108</v>
      </c>
      <c r="W18" s="22">
        <v>29.533663400246507</v>
      </c>
      <c r="X18" s="22">
        <v>28.660429820222085</v>
      </c>
      <c r="Y18" s="22">
        <v>27.851115033607435</v>
      </c>
      <c r="Z18" s="22">
        <v>26.975776733932719</v>
      </c>
      <c r="AA18" s="22">
        <v>27.246946659521971</v>
      </c>
      <c r="AB18" s="22">
        <v>26.669548269365507</v>
      </c>
      <c r="AC18" s="22">
        <v>27.268063568736096</v>
      </c>
      <c r="AD18" s="22">
        <v>28.575072543225403</v>
      </c>
      <c r="AE18" s="22">
        <v>28.693060039871334</v>
      </c>
      <c r="AF18" s="22">
        <v>15.272673232393466</v>
      </c>
      <c r="AG18" s="22">
        <v>16.492062571133633</v>
      </c>
      <c r="AH18" s="22">
        <v>21.758206272794151</v>
      </c>
      <c r="AI18" s="679" t="s">
        <v>116</v>
      </c>
      <c r="AJ18" s="679"/>
      <c r="AK18" s="679"/>
      <c r="AL18" s="679"/>
      <c r="AM18" s="679"/>
      <c r="AN18" s="679"/>
      <c r="AO18" s="679"/>
      <c r="AP18" s="679"/>
      <c r="AQ18" s="679"/>
      <c r="AR18" s="679"/>
    </row>
    <row r="19" spans="1:44">
      <c r="A19" s="2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5"/>
    </row>
    <row r="20" spans="1:44">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7"/>
      <c r="AE20" s="25"/>
      <c r="AF20" s="25"/>
      <c r="AG20" s="25"/>
      <c r="AH20" s="25"/>
    </row>
    <row r="21" spans="1:44" ht="18">
      <c r="A21" s="13" t="s">
        <v>47</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675" t="s">
        <v>117</v>
      </c>
      <c r="AJ21" s="675"/>
      <c r="AK21" s="675"/>
      <c r="AL21" s="675"/>
      <c r="AM21" s="675"/>
      <c r="AN21" s="675"/>
      <c r="AO21" s="675"/>
      <c r="AP21" s="675"/>
      <c r="AQ21" s="675"/>
      <c r="AR21" s="675"/>
    </row>
    <row r="22" spans="1:44">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row>
    <row r="23" spans="1:44">
      <c r="A23" s="28" t="s">
        <v>35</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680" t="s">
        <v>117</v>
      </c>
      <c r="AJ23" s="680"/>
      <c r="AK23" s="680"/>
      <c r="AL23" s="680"/>
      <c r="AM23" s="680"/>
      <c r="AN23" s="680"/>
      <c r="AO23" s="680"/>
      <c r="AP23" s="680"/>
      <c r="AQ23" s="680"/>
      <c r="AR23" s="680"/>
    </row>
    <row r="24" spans="1:44" ht="26.4">
      <c r="A24" s="15" t="s">
        <v>34</v>
      </c>
      <c r="B24" s="16">
        <v>1990</v>
      </c>
      <c r="C24" s="16">
        <v>1991</v>
      </c>
      <c r="D24" s="16">
        <v>1992</v>
      </c>
      <c r="E24" s="16">
        <v>1993</v>
      </c>
      <c r="F24" s="16">
        <v>1994</v>
      </c>
      <c r="G24" s="16">
        <v>1995</v>
      </c>
      <c r="H24" s="16">
        <v>1996</v>
      </c>
      <c r="I24" s="16">
        <v>1997</v>
      </c>
      <c r="J24" s="16">
        <v>1998</v>
      </c>
      <c r="K24" s="16">
        <v>1999</v>
      </c>
      <c r="L24" s="16">
        <v>2000</v>
      </c>
      <c r="M24" s="16">
        <v>2001</v>
      </c>
      <c r="N24" s="16">
        <v>2002</v>
      </c>
      <c r="O24" s="16">
        <v>2003</v>
      </c>
      <c r="P24" s="16">
        <v>2004</v>
      </c>
      <c r="Q24" s="16">
        <v>2005</v>
      </c>
      <c r="R24" s="16">
        <v>2006</v>
      </c>
      <c r="S24" s="16">
        <v>2007</v>
      </c>
      <c r="T24" s="16">
        <v>2008</v>
      </c>
      <c r="U24" s="16">
        <v>2009</v>
      </c>
      <c r="V24" s="16">
        <v>2010</v>
      </c>
      <c r="W24" s="16">
        <v>2011</v>
      </c>
      <c r="X24" s="16">
        <v>2012</v>
      </c>
      <c r="Y24" s="16">
        <v>2013</v>
      </c>
      <c r="Z24" s="16">
        <v>2014</v>
      </c>
      <c r="AA24" s="16">
        <v>2015</v>
      </c>
      <c r="AB24" s="16">
        <v>2016</v>
      </c>
      <c r="AC24" s="16">
        <v>2017</v>
      </c>
      <c r="AD24" s="16">
        <v>2018</v>
      </c>
      <c r="AE24" s="16">
        <v>2019</v>
      </c>
      <c r="AF24" s="16">
        <v>2020</v>
      </c>
      <c r="AG24" s="17">
        <v>2021</v>
      </c>
      <c r="AH24" s="17">
        <v>2022</v>
      </c>
      <c r="AI24" s="16">
        <v>2023</v>
      </c>
      <c r="AJ24" s="86">
        <v>2025</v>
      </c>
      <c r="AK24" s="16">
        <v>2028</v>
      </c>
      <c r="AL24" s="86">
        <v>2030</v>
      </c>
      <c r="AM24" s="86">
        <v>2033</v>
      </c>
      <c r="AN24" s="16">
        <v>2035</v>
      </c>
      <c r="AO24" s="86">
        <v>2038</v>
      </c>
      <c r="AP24" s="16">
        <v>2040</v>
      </c>
      <c r="AQ24" s="16">
        <v>2045</v>
      </c>
      <c r="AR24" s="16">
        <v>2050</v>
      </c>
    </row>
    <row r="25" spans="1:44">
      <c r="A25" s="30" t="s">
        <v>169</v>
      </c>
      <c r="B25" s="31">
        <v>41.346663255397772</v>
      </c>
      <c r="C25" s="31">
        <v>41.47419689492358</v>
      </c>
      <c r="D25" s="31">
        <v>42.407265023964072</v>
      </c>
      <c r="E25" s="31">
        <v>30.137389061418538</v>
      </c>
      <c r="F25" s="31">
        <v>26.625290259562892</v>
      </c>
      <c r="G25" s="31">
        <v>29.233497331470609</v>
      </c>
      <c r="H25" s="31">
        <v>32.617304985665825</v>
      </c>
      <c r="I25" s="31">
        <v>28.733092239590512</v>
      </c>
      <c r="J25" s="31">
        <v>41.294889500123816</v>
      </c>
      <c r="K25" s="31">
        <v>34.934153399643762</v>
      </c>
      <c r="L25" s="31">
        <v>34.445064513223883</v>
      </c>
      <c r="M25" s="31">
        <v>27.670402086572469</v>
      </c>
      <c r="N25" s="31">
        <v>31.415364347435531</v>
      </c>
      <c r="O25" s="31">
        <v>34.4760046610795</v>
      </c>
      <c r="P25" s="31">
        <v>32.901509514210147</v>
      </c>
      <c r="Q25" s="31">
        <v>38.696503242168745</v>
      </c>
      <c r="R25" s="31">
        <v>34.404604360434995</v>
      </c>
      <c r="S25" s="31">
        <v>34.77373187896017</v>
      </c>
      <c r="T25" s="31">
        <v>33.770754189871816</v>
      </c>
      <c r="U25" s="31">
        <v>33.259298004073273</v>
      </c>
      <c r="V25" s="31">
        <v>34.473795766875739</v>
      </c>
      <c r="W25" s="31">
        <v>27.650886377585355</v>
      </c>
      <c r="X25" s="31">
        <v>30.541889173201877</v>
      </c>
      <c r="Y25" s="31">
        <v>30.693659325816036</v>
      </c>
      <c r="Z25" s="31">
        <v>19.134141163592943</v>
      </c>
      <c r="AA25" s="31">
        <v>21.391882049142932</v>
      </c>
      <c r="AB25" s="31">
        <v>24.957074329068192</v>
      </c>
      <c r="AC25" s="31">
        <v>29.245603111913265</v>
      </c>
      <c r="AD25" s="31">
        <v>21.223583232650423</v>
      </c>
      <c r="AE25" s="31">
        <v>19.933006995316457</v>
      </c>
      <c r="AF25" s="31">
        <v>17.675833624397853</v>
      </c>
      <c r="AG25" s="31">
        <v>19.81582076118892</v>
      </c>
      <c r="AH25" s="31">
        <v>21.874607213409792</v>
      </c>
      <c r="AI25" s="31">
        <v>15.227819024796004</v>
      </c>
      <c r="AJ25" s="100">
        <v>15.480476956997286</v>
      </c>
      <c r="AK25" s="31">
        <v>12.399502652489975</v>
      </c>
      <c r="AL25" s="100">
        <v>10.35024965745326</v>
      </c>
      <c r="AM25" s="100">
        <v>10.378024929431781</v>
      </c>
      <c r="AN25" s="31">
        <v>10.398333414356934</v>
      </c>
      <c r="AO25" s="100">
        <v>10.304682630650547</v>
      </c>
      <c r="AP25" s="31">
        <v>10.243845657616061</v>
      </c>
      <c r="AQ25" s="31">
        <v>10.223044441783992</v>
      </c>
      <c r="AR25" s="31">
        <v>10.033517637369085</v>
      </c>
    </row>
    <row r="26" spans="1:44">
      <c r="A26" s="30" t="s">
        <v>166</v>
      </c>
      <c r="B26" s="81">
        <v>0</v>
      </c>
      <c r="C26" s="81">
        <v>0</v>
      </c>
      <c r="D26" s="81">
        <v>0</v>
      </c>
      <c r="E26" s="81">
        <v>0</v>
      </c>
      <c r="F26" s="81">
        <v>0</v>
      </c>
      <c r="G26" s="81">
        <v>0</v>
      </c>
      <c r="H26" s="81">
        <v>0</v>
      </c>
      <c r="I26" s="81">
        <v>0</v>
      </c>
      <c r="J26" s="81">
        <v>0</v>
      </c>
      <c r="K26" s="81">
        <v>0</v>
      </c>
      <c r="L26" s="81">
        <v>0</v>
      </c>
      <c r="M26" s="81">
        <v>0</v>
      </c>
      <c r="N26" s="81">
        <v>0</v>
      </c>
      <c r="O26" s="31"/>
      <c r="P26" s="31"/>
      <c r="Q26" s="81">
        <v>0</v>
      </c>
      <c r="R26" s="81">
        <v>0</v>
      </c>
      <c r="S26" s="81">
        <v>0</v>
      </c>
      <c r="T26" s="81">
        <v>0</v>
      </c>
      <c r="U26" s="81">
        <v>0</v>
      </c>
      <c r="V26" s="81">
        <v>0</v>
      </c>
      <c r="W26" s="81">
        <v>0</v>
      </c>
      <c r="X26" s="81">
        <v>0</v>
      </c>
      <c r="Y26" s="81">
        <v>0</v>
      </c>
      <c r="Z26" s="81">
        <v>0</v>
      </c>
      <c r="AA26" s="81">
        <v>0</v>
      </c>
      <c r="AB26" s="81">
        <v>0</v>
      </c>
      <c r="AC26" s="81">
        <v>0</v>
      </c>
      <c r="AD26" s="81">
        <v>0</v>
      </c>
      <c r="AE26" s="81">
        <v>0</v>
      </c>
      <c r="AF26" s="81">
        <v>0</v>
      </c>
      <c r="AG26" s="81">
        <v>0</v>
      </c>
      <c r="AH26" s="81">
        <v>0</v>
      </c>
      <c r="AI26" s="81">
        <v>0</v>
      </c>
      <c r="AJ26" s="81">
        <v>0</v>
      </c>
      <c r="AK26" s="81">
        <v>0</v>
      </c>
      <c r="AL26" s="81">
        <v>0</v>
      </c>
      <c r="AM26" s="81">
        <v>0</v>
      </c>
      <c r="AN26" s="81">
        <v>0</v>
      </c>
      <c r="AO26" s="81">
        <v>0</v>
      </c>
      <c r="AP26" s="81">
        <v>0</v>
      </c>
      <c r="AQ26" s="81">
        <v>0</v>
      </c>
      <c r="AR26" s="81">
        <v>0</v>
      </c>
    </row>
    <row r="27" spans="1:44">
      <c r="A27" s="30" t="s">
        <v>170</v>
      </c>
      <c r="B27" s="31">
        <v>6.0150197193126207</v>
      </c>
      <c r="C27" s="31">
        <v>6.7368175744528598</v>
      </c>
      <c r="D27" s="31">
        <v>6.6001351078837693</v>
      </c>
      <c r="E27" s="31">
        <v>6.5729769799553868</v>
      </c>
      <c r="F27" s="31">
        <v>6.1752077850764895</v>
      </c>
      <c r="G27" s="31">
        <v>6.1538015610983363</v>
      </c>
      <c r="H27" s="31">
        <v>6.9518309317423626</v>
      </c>
      <c r="I27" s="31">
        <v>6.5434955717816132</v>
      </c>
      <c r="J27" s="31">
        <v>6.5534947084453359</v>
      </c>
      <c r="K27" s="31">
        <v>6.4279949627334538</v>
      </c>
      <c r="L27" s="31">
        <v>6.4140676437181678</v>
      </c>
      <c r="M27" s="31">
        <v>6.5337908566197029</v>
      </c>
      <c r="N27" s="31">
        <v>6.6134929650714396</v>
      </c>
      <c r="O27" s="31">
        <v>6.7960481217318245</v>
      </c>
      <c r="P27" s="31">
        <v>6.9396157657693722</v>
      </c>
      <c r="Q27" s="31">
        <v>6.7758714694777238</v>
      </c>
      <c r="R27" s="31">
        <v>6.877236024260136</v>
      </c>
      <c r="S27" s="31">
        <v>6.4368496390372627</v>
      </c>
      <c r="T27" s="31">
        <v>6.6359366708452496</v>
      </c>
      <c r="U27" s="31">
        <v>5.9707531257801953</v>
      </c>
      <c r="V27" s="31">
        <v>6.5027461485461195</v>
      </c>
      <c r="W27" s="31">
        <v>8.1178580456753924</v>
      </c>
      <c r="X27" s="31">
        <v>9.4643594571481966</v>
      </c>
      <c r="Y27" s="31">
        <v>7.7940441442977324</v>
      </c>
      <c r="Z27" s="31">
        <v>5.6589935390942099</v>
      </c>
      <c r="AA27" s="31">
        <v>6.4903296440522631</v>
      </c>
      <c r="AB27" s="31">
        <v>6.6282204818165358</v>
      </c>
      <c r="AC27" s="31">
        <v>6.5836598491308775</v>
      </c>
      <c r="AD27" s="31">
        <v>5.7891212816412789</v>
      </c>
      <c r="AE27" s="31">
        <v>5.7003346233500798</v>
      </c>
      <c r="AF27" s="31">
        <v>5.3909492300604622</v>
      </c>
      <c r="AG27" s="31">
        <v>5.1621153275252825</v>
      </c>
      <c r="AH27" s="31">
        <v>3.797025205655896</v>
      </c>
      <c r="AI27" s="31">
        <v>2.9381911388025412</v>
      </c>
      <c r="AJ27" s="100">
        <v>2.6058960531109623</v>
      </c>
      <c r="AK27" s="31">
        <v>2.4531704073917004</v>
      </c>
      <c r="AL27" s="100">
        <v>2.3539607411473815</v>
      </c>
      <c r="AM27" s="100">
        <v>2.3049950737371372</v>
      </c>
      <c r="AN27" s="31">
        <v>2.2720769745436038</v>
      </c>
      <c r="AO27" s="100">
        <v>2.2414458773644279</v>
      </c>
      <c r="AP27" s="31">
        <v>2.2206970413637177</v>
      </c>
      <c r="AQ27" s="31">
        <v>2.1618703031349571</v>
      </c>
      <c r="AR27" s="31">
        <v>2.1146545660104001</v>
      </c>
    </row>
    <row r="28" spans="1:44">
      <c r="A28" s="30" t="s">
        <v>167</v>
      </c>
      <c r="B28" s="81">
        <v>0</v>
      </c>
      <c r="C28" s="81">
        <v>0</v>
      </c>
      <c r="D28" s="81">
        <v>0</v>
      </c>
      <c r="E28" s="81">
        <v>0</v>
      </c>
      <c r="F28" s="81">
        <v>0</v>
      </c>
      <c r="G28" s="81">
        <v>0</v>
      </c>
      <c r="H28" s="81">
        <v>0</v>
      </c>
      <c r="I28" s="81">
        <v>0</v>
      </c>
      <c r="J28" s="81">
        <v>0</v>
      </c>
      <c r="K28" s="81">
        <v>0</v>
      </c>
      <c r="L28" s="81">
        <v>0</v>
      </c>
      <c r="M28" s="81">
        <v>0</v>
      </c>
      <c r="N28" s="81">
        <v>0</v>
      </c>
      <c r="O28" s="31"/>
      <c r="P28" s="31"/>
      <c r="Q28" s="81">
        <v>0</v>
      </c>
      <c r="R28" s="81">
        <v>0</v>
      </c>
      <c r="S28" s="81">
        <v>0</v>
      </c>
      <c r="T28" s="81">
        <v>0</v>
      </c>
      <c r="U28" s="81">
        <v>0</v>
      </c>
      <c r="V28" s="81">
        <v>0</v>
      </c>
      <c r="W28" s="81">
        <v>0</v>
      </c>
      <c r="X28" s="81">
        <v>0</v>
      </c>
      <c r="Y28" s="81">
        <v>0</v>
      </c>
      <c r="Z28" s="81">
        <v>0</v>
      </c>
      <c r="AA28" s="81">
        <v>0</v>
      </c>
      <c r="AB28" s="81">
        <v>0</v>
      </c>
      <c r="AC28" s="81">
        <v>0</v>
      </c>
      <c r="AD28" s="81">
        <v>0</v>
      </c>
      <c r="AE28" s="81">
        <v>0</v>
      </c>
      <c r="AF28" s="81">
        <v>0</v>
      </c>
      <c r="AG28" s="81">
        <v>0</v>
      </c>
      <c r="AH28" s="81">
        <v>0</v>
      </c>
      <c r="AI28" s="81">
        <v>0</v>
      </c>
      <c r="AJ28" s="81">
        <v>0</v>
      </c>
      <c r="AK28" s="81">
        <v>0</v>
      </c>
      <c r="AL28" s="81">
        <v>0</v>
      </c>
      <c r="AM28" s="81">
        <v>0</v>
      </c>
      <c r="AN28" s="81">
        <v>0</v>
      </c>
      <c r="AO28" s="81">
        <v>0</v>
      </c>
      <c r="AP28" s="81">
        <v>0</v>
      </c>
      <c r="AQ28" s="81">
        <v>0</v>
      </c>
      <c r="AR28" s="81">
        <v>0</v>
      </c>
    </row>
    <row r="29" spans="1:44">
      <c r="A29" s="30" t="s">
        <v>171</v>
      </c>
      <c r="B29" s="31">
        <v>15.248512459535378</v>
      </c>
      <c r="C29" s="31">
        <v>15.526702313683574</v>
      </c>
      <c r="D29" s="31">
        <v>15.694444780680183</v>
      </c>
      <c r="E29" s="31">
        <v>15.686581066950794</v>
      </c>
      <c r="F29" s="31">
        <v>16.391352680945719</v>
      </c>
      <c r="G29" s="31">
        <v>16.541438771011006</v>
      </c>
      <c r="H29" s="31">
        <v>17.338011313594819</v>
      </c>
      <c r="I29" s="31">
        <v>18.146565943781759</v>
      </c>
      <c r="J29" s="31">
        <v>17.923941018206349</v>
      </c>
      <c r="K29" s="31">
        <v>17.178293708039597</v>
      </c>
      <c r="L29" s="31">
        <v>17.212042036792539</v>
      </c>
      <c r="M29" s="31">
        <v>17.30729198879666</v>
      </c>
      <c r="N29" s="31">
        <v>16.429206915027283</v>
      </c>
      <c r="O29" s="31">
        <v>16.39561421676445</v>
      </c>
      <c r="P29" s="31">
        <v>16.806950497897887</v>
      </c>
      <c r="Q29" s="31">
        <v>16.914856434624983</v>
      </c>
      <c r="R29" s="31">
        <v>17.34838525962596</v>
      </c>
      <c r="S29" s="31">
        <v>17.504150584126421</v>
      </c>
      <c r="T29" s="31">
        <v>17.596061896610657</v>
      </c>
      <c r="U29" s="31">
        <v>16.643819879968266</v>
      </c>
      <c r="V29" s="31">
        <v>14.783561225598566</v>
      </c>
      <c r="W29" s="31">
        <v>14.30742185049224</v>
      </c>
      <c r="X29" s="31">
        <v>11.717673110123551</v>
      </c>
      <c r="Y29" s="31">
        <v>10.94545603155929</v>
      </c>
      <c r="Z29" s="31">
        <v>10.884602862652082</v>
      </c>
      <c r="AA29" s="31">
        <v>10.464417124277531</v>
      </c>
      <c r="AB29" s="31">
        <v>10.194141335406115</v>
      </c>
      <c r="AC29" s="31">
        <v>9.6052536382773628</v>
      </c>
      <c r="AD29" s="31">
        <v>9.0973932589633613</v>
      </c>
      <c r="AE29" s="31">
        <v>8.7097134390249433</v>
      </c>
      <c r="AF29" s="31">
        <v>7.1850131050384531</v>
      </c>
      <c r="AG29" s="31">
        <v>6.5206359866749963</v>
      </c>
      <c r="AH29" s="31">
        <v>6.7584719086991374</v>
      </c>
      <c r="AI29" s="31">
        <v>6.4882982924462986</v>
      </c>
      <c r="AJ29" s="100">
        <v>6.8625424153099601</v>
      </c>
      <c r="AK29" s="31">
        <v>6.8362904951957955</v>
      </c>
      <c r="AL29" s="100">
        <v>6.8187892151196881</v>
      </c>
      <c r="AM29" s="100">
        <v>6.809446265192963</v>
      </c>
      <c r="AN29" s="31">
        <v>6.8032176319084785</v>
      </c>
      <c r="AO29" s="100">
        <v>6.7934317857991138</v>
      </c>
      <c r="AP29" s="31">
        <v>6.7869078883928706</v>
      </c>
      <c r="AQ29" s="31">
        <v>6.6147182000999214</v>
      </c>
      <c r="AR29" s="31">
        <v>6.3743552271517983</v>
      </c>
    </row>
    <row r="30" spans="1:44">
      <c r="A30" s="30" t="s">
        <v>168</v>
      </c>
      <c r="B30" s="81">
        <v>0</v>
      </c>
      <c r="C30" s="81">
        <v>0</v>
      </c>
      <c r="D30" s="81">
        <v>0</v>
      </c>
      <c r="E30" s="81">
        <v>0</v>
      </c>
      <c r="F30" s="81">
        <v>0</v>
      </c>
      <c r="G30" s="81">
        <v>0</v>
      </c>
      <c r="H30" s="81">
        <v>0</v>
      </c>
      <c r="I30" s="81">
        <v>0</v>
      </c>
      <c r="J30" s="81">
        <v>0</v>
      </c>
      <c r="K30" s="81">
        <v>0</v>
      </c>
      <c r="L30" s="81">
        <v>0</v>
      </c>
      <c r="M30" s="81">
        <v>0</v>
      </c>
      <c r="N30" s="81">
        <v>0</v>
      </c>
      <c r="O30" s="81">
        <v>0</v>
      </c>
      <c r="P30" s="81">
        <v>0</v>
      </c>
      <c r="Q30" s="81">
        <v>0</v>
      </c>
      <c r="R30" s="81">
        <v>0</v>
      </c>
      <c r="S30" s="81">
        <v>0</v>
      </c>
      <c r="T30" s="81">
        <v>0</v>
      </c>
      <c r="U30" s="81">
        <v>0</v>
      </c>
      <c r="V30" s="81">
        <v>0</v>
      </c>
      <c r="W30" s="81">
        <v>0</v>
      </c>
      <c r="X30" s="81">
        <v>0</v>
      </c>
      <c r="Y30" s="81">
        <v>0</v>
      </c>
      <c r="Z30" s="81">
        <v>0</v>
      </c>
      <c r="AA30" s="81">
        <v>0</v>
      </c>
      <c r="AB30" s="81">
        <v>0</v>
      </c>
      <c r="AC30" s="81">
        <v>0</v>
      </c>
      <c r="AD30" s="81">
        <v>0</v>
      </c>
      <c r="AE30" s="81">
        <v>0</v>
      </c>
      <c r="AF30" s="81">
        <v>0</v>
      </c>
      <c r="AG30" s="81">
        <v>0</v>
      </c>
      <c r="AH30" s="81">
        <v>0</v>
      </c>
      <c r="AI30" s="81">
        <v>0</v>
      </c>
      <c r="AJ30" s="81">
        <v>0</v>
      </c>
      <c r="AK30" s="81">
        <v>0</v>
      </c>
      <c r="AL30" s="81">
        <v>0</v>
      </c>
      <c r="AM30" s="81">
        <v>-5.9999999999999991E-2</v>
      </c>
      <c r="AN30" s="81">
        <v>-9.9999999999999992E-2</v>
      </c>
      <c r="AO30" s="81">
        <v>-0.21999999999999997</v>
      </c>
      <c r="AP30" s="81">
        <v>-0.3</v>
      </c>
      <c r="AQ30" s="81">
        <v>-0.3</v>
      </c>
      <c r="AR30" s="81">
        <v>-0.39998999999999996</v>
      </c>
    </row>
    <row r="31" spans="1:44">
      <c r="A31" s="30" t="s">
        <v>25</v>
      </c>
      <c r="B31" s="31">
        <v>4.1799298562018459</v>
      </c>
      <c r="C31" s="31">
        <v>4.1942021522010373</v>
      </c>
      <c r="D31" s="31">
        <v>4.2146083634215099</v>
      </c>
      <c r="E31" s="31">
        <v>3.8268204524805576</v>
      </c>
      <c r="F31" s="31">
        <v>3.7318051929957732</v>
      </c>
      <c r="G31" s="31">
        <v>3.7586580096628825</v>
      </c>
      <c r="H31" s="31">
        <v>3.6905496710514978</v>
      </c>
      <c r="I31" s="31">
        <v>3.5518211235613419</v>
      </c>
      <c r="J31" s="31">
        <v>3.8840686715351764</v>
      </c>
      <c r="K31" s="31">
        <v>3.9434381079008314</v>
      </c>
      <c r="L31" s="31">
        <v>3.8857143237179406</v>
      </c>
      <c r="M31" s="31">
        <v>3.7252598220756781</v>
      </c>
      <c r="N31" s="31">
        <v>3.5982146341493122</v>
      </c>
      <c r="O31" s="31">
        <v>3.5836060689639959</v>
      </c>
      <c r="P31" s="31">
        <v>3.4060759900886968</v>
      </c>
      <c r="Q31" s="31">
        <v>3.191175854564805</v>
      </c>
      <c r="R31" s="31">
        <v>3.1724127713819725</v>
      </c>
      <c r="S31" s="31">
        <v>3.1095829371264836</v>
      </c>
      <c r="T31" s="31">
        <v>3.0073758316500379</v>
      </c>
      <c r="U31" s="31">
        <v>2.7414831629590957</v>
      </c>
      <c r="V31" s="31">
        <v>2.9771896781380329</v>
      </c>
      <c r="W31" s="31">
        <v>2.9393908394772095</v>
      </c>
      <c r="X31" s="31">
        <v>2.7006325844334187</v>
      </c>
      <c r="Y31" s="31">
        <v>2.8069482305872286</v>
      </c>
      <c r="Z31" s="31">
        <v>2.9587488640427106</v>
      </c>
      <c r="AA31" s="31">
        <v>2.9396522240093019</v>
      </c>
      <c r="AB31" s="31">
        <v>2.8616719798681665</v>
      </c>
      <c r="AC31" s="31">
        <v>2.9745269151550948</v>
      </c>
      <c r="AD31" s="31">
        <v>2.9294309628616215</v>
      </c>
      <c r="AE31" s="31">
        <v>2.8472145429754812</v>
      </c>
      <c r="AF31" s="31">
        <v>2.1192845397919959</v>
      </c>
      <c r="AG31" s="31">
        <v>2.1689551211212486</v>
      </c>
      <c r="AH31" s="31">
        <v>2.2036988040208163</v>
      </c>
      <c r="AI31" s="31">
        <v>2.1331743972527764</v>
      </c>
      <c r="AJ31" s="100">
        <v>2.1282272890245664</v>
      </c>
      <c r="AK31" s="31">
        <v>2.0339761524885249</v>
      </c>
      <c r="AL31" s="100">
        <v>1.336971767877589</v>
      </c>
      <c r="AM31" s="100">
        <v>1.345138016982887</v>
      </c>
      <c r="AN31" s="31">
        <v>1.3504897819288968</v>
      </c>
      <c r="AO31" s="100">
        <v>1.3582810181889249</v>
      </c>
      <c r="AP31" s="31">
        <v>1.3633802744857872</v>
      </c>
      <c r="AQ31" s="31">
        <v>1.3756401842189103</v>
      </c>
      <c r="AR31" s="31">
        <v>1.3872667049096963</v>
      </c>
    </row>
    <row r="32" spans="1:44">
      <c r="A32" s="30" t="s">
        <v>16</v>
      </c>
      <c r="B32" s="31">
        <v>5.3541040000000004</v>
      </c>
      <c r="C32" s="31">
        <v>4.9685364731654875</v>
      </c>
      <c r="D32" s="31">
        <v>5.1887539869790578</v>
      </c>
      <c r="E32" s="31">
        <v>5.4205624232662313</v>
      </c>
      <c r="F32" s="31">
        <v>5.5418104037829954</v>
      </c>
      <c r="G32" s="31">
        <v>5.4914730903692242</v>
      </c>
      <c r="H32" s="31">
        <v>4.1738095690077444</v>
      </c>
      <c r="I32" s="31">
        <v>3.5520246866286929</v>
      </c>
      <c r="J32" s="31">
        <v>3.4465172708405434</v>
      </c>
      <c r="K32" s="31">
        <v>3.2742751500356491</v>
      </c>
      <c r="L32" s="31">
        <v>2.2451396437059938</v>
      </c>
      <c r="M32" s="31">
        <v>2.01877910690561</v>
      </c>
      <c r="N32" s="31">
        <v>1.3422459787879104</v>
      </c>
      <c r="O32" s="31">
        <v>1.2809441602510849</v>
      </c>
      <c r="P32" s="31">
        <v>0.74642789513523522</v>
      </c>
      <c r="Q32" s="31">
        <v>0.41459600000000008</v>
      </c>
      <c r="R32" s="31">
        <v>0.26451600000000003</v>
      </c>
      <c r="S32" s="31">
        <v>3.9396000000000007E-2</v>
      </c>
      <c r="T32" s="31">
        <v>3.9396000000000007E-2</v>
      </c>
      <c r="U32" s="31">
        <v>3.9396000000000007E-2</v>
      </c>
      <c r="V32" s="31">
        <v>3.9396000000000007E-2</v>
      </c>
      <c r="W32" s="31">
        <v>3.0016000000000001E-2</v>
      </c>
      <c r="X32" s="31">
        <v>1.3132E-2</v>
      </c>
      <c r="Y32" s="31">
        <v>1.5008000000000001E-2</v>
      </c>
      <c r="Z32" s="31">
        <v>1.1256E-2</v>
      </c>
      <c r="AA32" s="31">
        <v>1.1256E-2</v>
      </c>
      <c r="AB32" s="31">
        <v>1.1256E-2</v>
      </c>
      <c r="AC32" s="31">
        <v>1.1256E-2</v>
      </c>
      <c r="AD32" s="31">
        <v>1.1256E-2</v>
      </c>
      <c r="AE32" s="31">
        <v>1.1256E-2</v>
      </c>
      <c r="AF32" s="31">
        <v>1.1256E-2</v>
      </c>
      <c r="AG32" s="31">
        <v>1.313199999999997E-3</v>
      </c>
      <c r="AH32" s="31">
        <v>1.313199999999997E-3</v>
      </c>
      <c r="AI32" s="31">
        <v>1.3131999999999968E-3</v>
      </c>
      <c r="AJ32" s="100">
        <v>1.3131999999999968E-3</v>
      </c>
      <c r="AK32" s="31">
        <v>1.3131999999999968E-3</v>
      </c>
      <c r="AL32" s="100">
        <v>1.3131999999999968E-3</v>
      </c>
      <c r="AM32" s="100">
        <v>1.3131999999999968E-3</v>
      </c>
      <c r="AN32" s="31">
        <v>1.3131999999999968E-3</v>
      </c>
      <c r="AO32" s="100">
        <v>1.3131999999999968E-3</v>
      </c>
      <c r="AP32" s="31">
        <v>1.3131999999999968E-3</v>
      </c>
      <c r="AQ32" s="31">
        <v>1.3131999999999968E-3</v>
      </c>
      <c r="AR32" s="31">
        <v>1.3131999999999968E-3</v>
      </c>
    </row>
    <row r="33" spans="1:44">
      <c r="A33" s="30" t="s">
        <v>17</v>
      </c>
      <c r="B33" s="31">
        <v>0.47536203835577101</v>
      </c>
      <c r="C33" s="31">
        <v>0.46484442012874017</v>
      </c>
      <c r="D33" s="31">
        <v>0.451964130035578</v>
      </c>
      <c r="E33" s="31">
        <v>0.43512749034271148</v>
      </c>
      <c r="F33" s="31">
        <v>0.43832316349513778</v>
      </c>
      <c r="G33" s="31">
        <v>0.39415583935865278</v>
      </c>
      <c r="H33" s="31">
        <v>0.3351487730469051</v>
      </c>
      <c r="I33" s="31">
        <v>0.28501508441820866</v>
      </c>
      <c r="J33" s="31">
        <v>0.27334543487254076</v>
      </c>
      <c r="K33" s="31">
        <v>0.24627003297664884</v>
      </c>
      <c r="L33" s="31">
        <v>0.22787930076191015</v>
      </c>
      <c r="M33" s="31">
        <v>0.22221856702672499</v>
      </c>
      <c r="N33" s="31">
        <v>0.2116543086104688</v>
      </c>
      <c r="O33" s="31">
        <v>0.19743767562531978</v>
      </c>
      <c r="P33" s="31">
        <v>0.18476447010188479</v>
      </c>
      <c r="Q33" s="31">
        <v>0.17528521877645872</v>
      </c>
      <c r="R33" s="31">
        <v>0.17207587596983789</v>
      </c>
      <c r="S33" s="31">
        <v>0.15898244832638328</v>
      </c>
      <c r="T33" s="31">
        <v>0.15805683566095535</v>
      </c>
      <c r="U33" s="31">
        <v>0.14427255902099903</v>
      </c>
      <c r="V33" s="31">
        <v>0.14441445385002818</v>
      </c>
      <c r="W33" s="31">
        <v>0.14473293077879451</v>
      </c>
      <c r="X33" s="31">
        <v>0.12954260766639586</v>
      </c>
      <c r="Y33" s="31">
        <v>0.12754838252325135</v>
      </c>
      <c r="Z33" s="31">
        <v>0.12289728260596587</v>
      </c>
      <c r="AA33" s="31">
        <v>0.13418327388529264</v>
      </c>
      <c r="AB33" s="31">
        <v>0.13106482652045146</v>
      </c>
      <c r="AC33" s="31">
        <v>0.12211660183828703</v>
      </c>
      <c r="AD33" s="31">
        <v>0.12449829671374033</v>
      </c>
      <c r="AE33" s="31">
        <v>0.11556875148091968</v>
      </c>
      <c r="AF33" s="31">
        <v>0.10255535131879859</v>
      </c>
      <c r="AG33" s="31">
        <v>0.10361612496670393</v>
      </c>
      <c r="AH33" s="31">
        <v>9.3934814319285576E-2</v>
      </c>
      <c r="AI33" s="31">
        <v>9.7858224270691643E-2</v>
      </c>
      <c r="AJ33" s="100">
        <v>9.5694557563733185E-2</v>
      </c>
      <c r="AK33" s="31">
        <v>9.3170721336953061E-2</v>
      </c>
      <c r="AL33" s="100">
        <v>9.1487779029755995E-2</v>
      </c>
      <c r="AM33" s="100">
        <v>6.9762841552878263E-2</v>
      </c>
      <c r="AN33" s="31">
        <v>5.5279216379287142E-2</v>
      </c>
      <c r="AO33" s="100">
        <v>3.3485537167570793E-2</v>
      </c>
      <c r="AP33" s="31">
        <v>1.8955986142538694E-2</v>
      </c>
      <c r="AQ33" s="31">
        <v>1.5673057591926564E-2</v>
      </c>
      <c r="AR33" s="31">
        <v>1.3960746603617647E-2</v>
      </c>
    </row>
    <row r="34" spans="1:44">
      <c r="A34" s="30" t="s">
        <v>18</v>
      </c>
      <c r="B34" s="31">
        <v>3.4657371807442452</v>
      </c>
      <c r="C34" s="31">
        <v>3.7080528229324985</v>
      </c>
      <c r="D34" s="31">
        <v>3.5342230592457593</v>
      </c>
      <c r="E34" s="31">
        <v>3.4680113261781962</v>
      </c>
      <c r="F34" s="31">
        <v>3.530131139023851</v>
      </c>
      <c r="G34" s="31">
        <v>3.3685692146778292</v>
      </c>
      <c r="H34" s="31">
        <v>3.4540875762360685</v>
      </c>
      <c r="I34" s="31">
        <v>3.3503389874767402</v>
      </c>
      <c r="J34" s="31">
        <v>3.1415354889705709</v>
      </c>
      <c r="K34" s="31">
        <v>3.163637569620485</v>
      </c>
      <c r="L34" s="31">
        <v>3.1608354518077708</v>
      </c>
      <c r="M34" s="31">
        <v>2.9424114754238637</v>
      </c>
      <c r="N34" s="31">
        <v>3.0155454008504665</v>
      </c>
      <c r="O34" s="31">
        <v>3.0922390164233042</v>
      </c>
      <c r="P34" s="31">
        <v>3.1802375423138693</v>
      </c>
      <c r="Q34" s="31">
        <v>3.1536036012483502</v>
      </c>
      <c r="R34" s="31">
        <v>3.0312785223109806</v>
      </c>
      <c r="S34" s="31">
        <v>2.9078345617358323</v>
      </c>
      <c r="T34" s="31">
        <v>2.8981811269761275</v>
      </c>
      <c r="U34" s="31">
        <v>2.8166847772256398</v>
      </c>
      <c r="V34" s="31">
        <v>2.489444993895046</v>
      </c>
      <c r="W34" s="31">
        <v>2.2796554050678153</v>
      </c>
      <c r="X34" s="31">
        <v>2.3387902128096481</v>
      </c>
      <c r="Y34" s="31">
        <v>2.1657028507716269</v>
      </c>
      <c r="Z34" s="31">
        <v>1.8167812778885639</v>
      </c>
      <c r="AA34" s="31">
        <v>1.7450282766750536</v>
      </c>
      <c r="AB34" s="31">
        <v>1.7622162089005542</v>
      </c>
      <c r="AC34" s="31">
        <v>1.6515697260754705</v>
      </c>
      <c r="AD34" s="31">
        <v>1.5965347791033064</v>
      </c>
      <c r="AE34" s="31">
        <v>1.5830693952813211</v>
      </c>
      <c r="AF34" s="31">
        <v>1.2652320311654934</v>
      </c>
      <c r="AG34" s="31">
        <v>1.1959032486867982</v>
      </c>
      <c r="AH34" s="31">
        <v>1.2526968249686132</v>
      </c>
      <c r="AI34" s="31">
        <v>1.2050153884560932</v>
      </c>
      <c r="AJ34" s="100">
        <v>1.1615861166776902</v>
      </c>
      <c r="AK34" s="31">
        <v>1.1280499165937572</v>
      </c>
      <c r="AL34" s="100">
        <v>1.1285882696303462</v>
      </c>
      <c r="AM34" s="100">
        <v>1.1275740714290021</v>
      </c>
      <c r="AN34" s="31">
        <v>1.1268576696006303</v>
      </c>
      <c r="AO34" s="100">
        <v>1.1236621318460744</v>
      </c>
      <c r="AP34" s="31">
        <v>1.0853027682515624</v>
      </c>
      <c r="AQ34" s="31">
        <v>1.0770140364353415</v>
      </c>
      <c r="AR34" s="31">
        <v>1.1368896833943176</v>
      </c>
    </row>
    <row r="35" spans="1:44">
      <c r="A35" s="30" t="s">
        <v>48</v>
      </c>
      <c r="B35" s="31">
        <v>4.8223751353895068E-2</v>
      </c>
      <c r="C35" s="31">
        <v>4.3963884882555274E-2</v>
      </c>
      <c r="D35" s="31">
        <v>3.9361395048648641E-2</v>
      </c>
      <c r="E35" s="31">
        <v>3.4978374584829983E-2</v>
      </c>
      <c r="F35" s="31">
        <v>3.0433796108108108E-2</v>
      </c>
      <c r="G35" s="31">
        <v>2.5883738775768869E-2</v>
      </c>
      <c r="H35" s="31">
        <v>2.1415717967567562E-2</v>
      </c>
      <c r="I35" s="31">
        <v>1.6803789475075076E-2</v>
      </c>
      <c r="J35" s="31">
        <v>1.2058872996257797E-2</v>
      </c>
      <c r="K35" s="31">
        <v>7.1915597967567562E-3</v>
      </c>
      <c r="L35" s="31">
        <v>2.2048384864864871E-3</v>
      </c>
      <c r="M35" s="31">
        <v>2.2128352864864862E-3</v>
      </c>
      <c r="N35" s="31">
        <v>2.2213024864864862E-3</v>
      </c>
      <c r="O35" s="31">
        <v>2.2097976092664154E-3</v>
      </c>
      <c r="P35" s="31">
        <v>2.1987855320463332E-3</v>
      </c>
      <c r="Q35" s="31">
        <v>2.1883334548262515E-3</v>
      </c>
      <c r="R35" s="31">
        <v>2.1759325776061805E-3</v>
      </c>
      <c r="S35" s="31">
        <v>2.1641589003860992E-3</v>
      </c>
      <c r="T35" s="31">
        <v>2.1513548231660282E-3</v>
      </c>
      <c r="U35" s="31">
        <v>2.1412611459459461E-3</v>
      </c>
      <c r="V35" s="31">
        <v>2.0075494054054054E-3</v>
      </c>
      <c r="W35" s="31">
        <v>1.872202464864865E-3</v>
      </c>
      <c r="X35" s="31">
        <v>2.0224006054054052E-3</v>
      </c>
      <c r="Y35" s="31">
        <v>2.3072730894277611E-3</v>
      </c>
      <c r="Z35" s="31">
        <v>2.2459941957241715E-3</v>
      </c>
      <c r="AA35" s="31">
        <v>2.7285319109150831E-3</v>
      </c>
      <c r="AB35" s="31">
        <v>3.3234686807375397E-3</v>
      </c>
      <c r="AC35" s="31">
        <v>2.6452381206238801E-3</v>
      </c>
      <c r="AD35" s="31">
        <v>1.9270244304645217E-3</v>
      </c>
      <c r="AE35" s="31">
        <v>1.8180602929225075E-3</v>
      </c>
      <c r="AF35" s="31">
        <v>1.8791422524855167E-3</v>
      </c>
      <c r="AG35" s="31">
        <v>1.7298369605321254E-3</v>
      </c>
      <c r="AH35" s="31">
        <v>1.7298369605321254E-3</v>
      </c>
      <c r="AI35" s="100">
        <v>0</v>
      </c>
      <c r="AJ35" s="100">
        <v>0</v>
      </c>
      <c r="AK35" s="100">
        <v>0</v>
      </c>
      <c r="AL35" s="100">
        <v>0</v>
      </c>
      <c r="AM35" s="100">
        <v>0</v>
      </c>
      <c r="AN35" s="100">
        <v>0</v>
      </c>
      <c r="AO35" s="100">
        <v>0</v>
      </c>
      <c r="AP35" s="100">
        <v>0</v>
      </c>
      <c r="AQ35" s="100">
        <v>0</v>
      </c>
      <c r="AR35" s="100">
        <v>0</v>
      </c>
    </row>
    <row r="36" spans="1:44">
      <c r="A36" s="30" t="s">
        <v>19</v>
      </c>
      <c r="B36" s="31">
        <v>2.7264205561207233</v>
      </c>
      <c r="C36" s="31">
        <v>2.9804828550098357</v>
      </c>
      <c r="D36" s="31">
        <v>3.2345451538989467</v>
      </c>
      <c r="E36" s="31">
        <v>3.4903913414020167</v>
      </c>
      <c r="F36" s="31">
        <v>3.5152958552447067</v>
      </c>
      <c r="G36" s="31">
        <v>3.5402003690873975</v>
      </c>
      <c r="H36" s="31">
        <v>3.5041587935172474</v>
      </c>
      <c r="I36" s="31">
        <v>3.5321678763554623</v>
      </c>
      <c r="J36" s="31">
        <v>3.5421086179508139</v>
      </c>
      <c r="K36" s="31">
        <v>3.92668748574174</v>
      </c>
      <c r="L36" s="31">
        <v>4.1256290003735314</v>
      </c>
      <c r="M36" s="31">
        <v>4.414561244157249</v>
      </c>
      <c r="N36" s="31">
        <v>4.7048246757552725</v>
      </c>
      <c r="O36" s="31">
        <v>4.8987392660420266</v>
      </c>
      <c r="P36" s="31">
        <v>5.0895356806868115</v>
      </c>
      <c r="Q36" s="31">
        <v>5.0604783688968631</v>
      </c>
      <c r="R36" s="31">
        <v>4.9305872273063525</v>
      </c>
      <c r="S36" s="31">
        <v>4.8411003996900863</v>
      </c>
      <c r="T36" s="31">
        <v>4.8127855059120392</v>
      </c>
      <c r="U36" s="31">
        <v>5.1505665470190047</v>
      </c>
      <c r="V36" s="31">
        <v>5.5797991294057159</v>
      </c>
      <c r="W36" s="31">
        <v>5.7260268075320058</v>
      </c>
      <c r="X36" s="31">
        <v>5.9721540375113618</v>
      </c>
      <c r="Y36" s="31">
        <v>6.2898667618243023</v>
      </c>
      <c r="Z36" s="31">
        <v>6.6118912016419449</v>
      </c>
      <c r="AA36" s="31">
        <v>6.7803713497191644</v>
      </c>
      <c r="AB36" s="31">
        <v>6.9688742414973799</v>
      </c>
      <c r="AC36" s="31">
        <v>7.0568588246829114</v>
      </c>
      <c r="AD36" s="31">
        <v>7.1030334212898421</v>
      </c>
      <c r="AE36" s="31">
        <v>7.1363420176828676</v>
      </c>
      <c r="AF36" s="31">
        <v>7.1770117413581023</v>
      </c>
      <c r="AG36" s="31">
        <v>7.1473093499663181</v>
      </c>
      <c r="AH36" s="31">
        <v>7.1441982986172681</v>
      </c>
      <c r="AI36" s="31">
        <v>7.2647815885855938</v>
      </c>
      <c r="AJ36" s="100">
        <v>7.4749860852935281</v>
      </c>
      <c r="AK36" s="31">
        <v>7.7912445431184914</v>
      </c>
      <c r="AL36" s="100">
        <v>8.0025544803775475</v>
      </c>
      <c r="AM36" s="100">
        <v>8.0050071273718597</v>
      </c>
      <c r="AN36" s="31">
        <v>8.0064787155684467</v>
      </c>
      <c r="AO36" s="100">
        <v>8.0087678527631372</v>
      </c>
      <c r="AP36" s="31">
        <v>8.0100759311601042</v>
      </c>
      <c r="AQ36" s="31">
        <v>8.0135096369521399</v>
      </c>
      <c r="AR36" s="31">
        <v>8.0164528133453121</v>
      </c>
    </row>
    <row r="37" spans="1:44">
      <c r="A37" s="30" t="s">
        <v>115</v>
      </c>
      <c r="B37" s="81">
        <v>0</v>
      </c>
      <c r="C37" s="81">
        <v>0</v>
      </c>
      <c r="D37" s="81">
        <v>0</v>
      </c>
      <c r="E37" s="81">
        <v>0</v>
      </c>
      <c r="F37" s="81">
        <v>0</v>
      </c>
      <c r="G37" s="81">
        <v>0</v>
      </c>
      <c r="H37" s="81">
        <v>0</v>
      </c>
      <c r="I37" s="81">
        <v>0</v>
      </c>
      <c r="J37" s="81">
        <v>0</v>
      </c>
      <c r="K37" s="81"/>
      <c r="L37" s="81"/>
      <c r="M37" s="81"/>
      <c r="N37" s="81"/>
      <c r="O37" s="81"/>
      <c r="P37" s="81"/>
      <c r="Q37" s="81"/>
      <c r="R37" s="31"/>
      <c r="S37" s="31"/>
      <c r="T37" s="31"/>
      <c r="U37" s="31"/>
      <c r="V37" s="31"/>
      <c r="W37" s="31"/>
      <c r="X37" s="31"/>
      <c r="Y37" s="31"/>
      <c r="Z37" s="31"/>
      <c r="AA37" s="31"/>
      <c r="AB37" s="31"/>
      <c r="AC37" s="31"/>
      <c r="AD37" s="31"/>
      <c r="AE37" s="31"/>
      <c r="AF37" s="31"/>
      <c r="AG37" s="31"/>
      <c r="AH37" s="31"/>
      <c r="AI37" s="31">
        <v>0</v>
      </c>
      <c r="AJ37" s="100">
        <v>0</v>
      </c>
      <c r="AK37" s="31">
        <v>0</v>
      </c>
      <c r="AL37" s="100">
        <v>0</v>
      </c>
      <c r="AM37" s="100">
        <v>0</v>
      </c>
      <c r="AN37" s="31">
        <v>0</v>
      </c>
      <c r="AO37" s="100">
        <v>0</v>
      </c>
      <c r="AP37" s="31">
        <v>0</v>
      </c>
      <c r="AQ37" s="31">
        <v>0</v>
      </c>
      <c r="AR37" s="31">
        <v>0</v>
      </c>
    </row>
    <row r="38" spans="1:44">
      <c r="A38" s="32" t="s">
        <v>49</v>
      </c>
      <c r="B38" s="33">
        <v>78.859972817022268</v>
      </c>
      <c r="C38" s="33">
        <v>80.097799391380178</v>
      </c>
      <c r="D38" s="33">
        <v>81.365301001157519</v>
      </c>
      <c r="E38" s="33">
        <v>69.072838516579253</v>
      </c>
      <c r="F38" s="33">
        <v>65.97965027623566</v>
      </c>
      <c r="G38" s="33">
        <v>68.507677925511715</v>
      </c>
      <c r="H38" s="33">
        <v>72.086317331830045</v>
      </c>
      <c r="I38" s="33">
        <v>67.711325303069401</v>
      </c>
      <c r="J38" s="33">
        <v>80.071959583941421</v>
      </c>
      <c r="K38" s="33">
        <v>73.101941976488931</v>
      </c>
      <c r="L38" s="33">
        <v>71.718576752588234</v>
      </c>
      <c r="M38" s="33">
        <v>64.836927982864452</v>
      </c>
      <c r="N38" s="33">
        <v>67.332770528174166</v>
      </c>
      <c r="O38" s="33">
        <v>70.722842984490768</v>
      </c>
      <c r="P38" s="33">
        <v>69.257316141735942</v>
      </c>
      <c r="Q38" s="33">
        <v>74.384558523212746</v>
      </c>
      <c r="R38" s="33">
        <v>70.203271973867828</v>
      </c>
      <c r="S38" s="33">
        <v>69.773792607903033</v>
      </c>
      <c r="T38" s="33">
        <v>68.920699412350046</v>
      </c>
      <c r="U38" s="33">
        <v>66.768415317192421</v>
      </c>
      <c r="V38" s="33">
        <v>66.992354945714666</v>
      </c>
      <c r="W38" s="33">
        <v>61.197860459073688</v>
      </c>
      <c r="X38" s="33">
        <v>62.880195583499848</v>
      </c>
      <c r="Y38" s="33">
        <v>60.840541000468903</v>
      </c>
      <c r="Z38" s="33">
        <v>47.201558185714156</v>
      </c>
      <c r="AA38" s="33">
        <v>49.959848473672452</v>
      </c>
      <c r="AB38" s="33">
        <v>53.517842871758141</v>
      </c>
      <c r="AC38" s="33">
        <v>57.253489905193895</v>
      </c>
      <c r="AD38" s="33">
        <v>47.876778257654045</v>
      </c>
      <c r="AE38" s="33">
        <v>46.038323825404987</v>
      </c>
      <c r="AF38" s="33">
        <v>40.929014765383648</v>
      </c>
      <c r="AG38" s="33">
        <v>42.117398957090806</v>
      </c>
      <c r="AH38" s="33">
        <v>43.127676106651343</v>
      </c>
      <c r="AI38" s="98">
        <v>35.35645125461</v>
      </c>
      <c r="AJ38" s="99">
        <v>35.810722673977722</v>
      </c>
      <c r="AK38" s="99">
        <v>32.736718088615191</v>
      </c>
      <c r="AL38" s="99">
        <v>30.083915110635566</v>
      </c>
      <c r="AM38" s="99">
        <v>29.981261525698507</v>
      </c>
      <c r="AN38" s="99">
        <v>29.914046604286277</v>
      </c>
      <c r="AO38" s="99">
        <v>29.645070033779795</v>
      </c>
      <c r="AP38" s="99">
        <v>29.430478747412643</v>
      </c>
      <c r="AQ38" s="99">
        <v>29.182783060217183</v>
      </c>
      <c r="AR38" s="99">
        <v>28.678420578784227</v>
      </c>
    </row>
    <row r="39" spans="1:44" ht="15">
      <c r="A39" s="34"/>
      <c r="B39" s="35"/>
      <c r="C39" s="35"/>
      <c r="D39" s="35"/>
      <c r="E39" s="35"/>
      <c r="F39" s="35"/>
      <c r="G39" s="35"/>
      <c r="H39" s="35"/>
      <c r="I39" s="35"/>
      <c r="J39" s="35"/>
      <c r="K39" s="10"/>
      <c r="L39" s="10"/>
      <c r="M39" s="10"/>
      <c r="N39" s="10"/>
      <c r="O39" s="10"/>
      <c r="P39" s="10"/>
      <c r="Q39" s="10"/>
      <c r="R39" s="10"/>
      <c r="S39" s="10"/>
      <c r="T39" s="10"/>
      <c r="U39" s="10"/>
      <c r="V39" s="10"/>
      <c r="W39" s="10"/>
      <c r="X39" s="10"/>
      <c r="Y39" s="10"/>
      <c r="Z39" s="10"/>
      <c r="AA39" s="10"/>
      <c r="AB39" s="10"/>
      <c r="AC39" s="10"/>
      <c r="AD39" s="10"/>
      <c r="AE39" s="10"/>
      <c r="AF39" s="10"/>
      <c r="AG39" s="36"/>
      <c r="AH39" s="10"/>
      <c r="AI39" s="147"/>
      <c r="AJ39" s="87"/>
    </row>
    <row r="40" spans="1:44">
      <c r="A40" s="37" t="s">
        <v>36</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675" t="s">
        <v>117</v>
      </c>
      <c r="AJ40" s="675"/>
      <c r="AK40" s="675"/>
      <c r="AL40" s="675"/>
      <c r="AM40" s="675"/>
      <c r="AN40" s="675"/>
      <c r="AO40" s="675"/>
      <c r="AP40" s="675"/>
      <c r="AQ40" s="675"/>
      <c r="AR40" s="675"/>
    </row>
    <row r="41" spans="1:44" ht="26.4">
      <c r="A41" s="15" t="s">
        <v>34</v>
      </c>
      <c r="B41" s="16">
        <v>1990</v>
      </c>
      <c r="C41" s="16">
        <v>1991</v>
      </c>
      <c r="D41" s="16">
        <v>1992</v>
      </c>
      <c r="E41" s="16">
        <v>1993</v>
      </c>
      <c r="F41" s="16">
        <v>1994</v>
      </c>
      <c r="G41" s="16">
        <v>1995</v>
      </c>
      <c r="H41" s="16">
        <v>1996</v>
      </c>
      <c r="I41" s="16">
        <v>1997</v>
      </c>
      <c r="J41" s="16">
        <v>1998</v>
      </c>
      <c r="K41" s="16">
        <v>1999</v>
      </c>
      <c r="L41" s="16">
        <v>2000</v>
      </c>
      <c r="M41" s="16">
        <v>2001</v>
      </c>
      <c r="N41" s="16">
        <v>2002</v>
      </c>
      <c r="O41" s="16">
        <v>2003</v>
      </c>
      <c r="P41" s="16">
        <v>2004</v>
      </c>
      <c r="Q41" s="16">
        <v>2005</v>
      </c>
      <c r="R41" s="16">
        <v>2006</v>
      </c>
      <c r="S41" s="16">
        <v>2007</v>
      </c>
      <c r="T41" s="16">
        <v>2008</v>
      </c>
      <c r="U41" s="16">
        <v>2009</v>
      </c>
      <c r="V41" s="16">
        <v>2010</v>
      </c>
      <c r="W41" s="16">
        <v>2011</v>
      </c>
      <c r="X41" s="16">
        <v>2012</v>
      </c>
      <c r="Y41" s="16">
        <v>2013</v>
      </c>
      <c r="Z41" s="16">
        <v>2014</v>
      </c>
      <c r="AA41" s="16">
        <v>2015</v>
      </c>
      <c r="AB41" s="16">
        <v>2016</v>
      </c>
      <c r="AC41" s="16">
        <v>2017</v>
      </c>
      <c r="AD41" s="16">
        <v>2018</v>
      </c>
      <c r="AE41" s="16">
        <v>2019</v>
      </c>
      <c r="AF41" s="16">
        <v>2020</v>
      </c>
      <c r="AG41" s="17">
        <v>2021</v>
      </c>
      <c r="AH41" s="17">
        <v>2022</v>
      </c>
      <c r="AI41" s="16">
        <v>2023</v>
      </c>
      <c r="AJ41" s="86">
        <v>2025</v>
      </c>
      <c r="AK41" s="16">
        <v>2028</v>
      </c>
      <c r="AL41" s="86">
        <v>2030</v>
      </c>
      <c r="AM41" s="86">
        <v>2033</v>
      </c>
      <c r="AN41" s="16">
        <v>2035</v>
      </c>
      <c r="AO41" s="86">
        <v>2038</v>
      </c>
      <c r="AP41" s="16">
        <v>2040</v>
      </c>
      <c r="AQ41" s="16">
        <v>2045</v>
      </c>
      <c r="AR41" s="16">
        <v>2050</v>
      </c>
    </row>
    <row r="42" spans="1:44">
      <c r="A42" s="569" t="s">
        <v>1044</v>
      </c>
      <c r="B42" s="31">
        <v>49.518936442334095</v>
      </c>
      <c r="C42" s="31">
        <v>53.963642043934541</v>
      </c>
      <c r="D42" s="31">
        <v>50.878407922319624</v>
      </c>
      <c r="E42" s="31">
        <v>48.810492198843967</v>
      </c>
      <c r="F42" s="31">
        <v>50.221930846693567</v>
      </c>
      <c r="G42" s="31">
        <v>50.223400866255766</v>
      </c>
      <c r="H42" s="31">
        <v>51.960836707528422</v>
      </c>
      <c r="I42" s="31">
        <v>51.731029692921481</v>
      </c>
      <c r="J42" s="31">
        <v>42.39807385600183</v>
      </c>
      <c r="K42" s="31">
        <v>37.986796583750596</v>
      </c>
      <c r="L42" s="31">
        <v>36.77667502529178</v>
      </c>
      <c r="M42" s="31">
        <v>39.160264824422782</v>
      </c>
      <c r="N42" s="31">
        <v>34.714031216328237</v>
      </c>
      <c r="O42" s="31">
        <v>35.03834584952596</v>
      </c>
      <c r="P42" s="31">
        <v>31.84124965588931</v>
      </c>
      <c r="Q42" s="31">
        <v>32.955406089308603</v>
      </c>
      <c r="R42" s="31">
        <v>30.487755667962031</v>
      </c>
      <c r="S42" s="31">
        <v>30.239818257722877</v>
      </c>
      <c r="T42" s="31">
        <v>28.901203874465565</v>
      </c>
      <c r="U42" s="31">
        <v>26.009735147681823</v>
      </c>
      <c r="V42" s="31">
        <v>24.977946731866066</v>
      </c>
      <c r="W42" s="31">
        <v>23.611961742514161</v>
      </c>
      <c r="X42" s="31">
        <v>22.747860030803814</v>
      </c>
      <c r="Y42" s="31">
        <v>22.444896546975034</v>
      </c>
      <c r="Z42" s="31">
        <v>21.986382594495993</v>
      </c>
      <c r="AA42" s="31">
        <v>21.615153696777853</v>
      </c>
      <c r="AB42" s="31">
        <v>20.591663877935034</v>
      </c>
      <c r="AC42" s="31">
        <v>20.471684620699026</v>
      </c>
      <c r="AD42" s="31">
        <v>19.600341223931633</v>
      </c>
      <c r="AE42" s="31">
        <v>18.713060486590013</v>
      </c>
      <c r="AF42" s="31">
        <v>17.641337128032493</v>
      </c>
      <c r="AG42" s="31">
        <v>18.668402800106698</v>
      </c>
      <c r="AH42" s="31">
        <v>16.580476056833668</v>
      </c>
      <c r="AI42" s="101">
        <v>15.897911824255036</v>
      </c>
      <c r="AJ42" s="101">
        <v>16.043817582850611</v>
      </c>
      <c r="AK42" s="101">
        <v>15.28943380591944</v>
      </c>
      <c r="AL42" s="101">
        <v>15.583011059804516</v>
      </c>
      <c r="AM42" s="101">
        <v>16.2974350458346</v>
      </c>
      <c r="AN42" s="101">
        <v>16.769228948251175</v>
      </c>
      <c r="AO42" s="101">
        <v>17.687330852197235</v>
      </c>
      <c r="AP42" s="101">
        <v>18.302142625038581</v>
      </c>
      <c r="AQ42" s="101">
        <v>19.723938927792528</v>
      </c>
      <c r="AR42" s="101">
        <v>25.504496107977719</v>
      </c>
    </row>
    <row r="43" spans="1:44" s="91" customFormat="1">
      <c r="A43" s="90" t="s">
        <v>126</v>
      </c>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3">
        <f>$AE$43/$AE$42*AA42</f>
        <v>5.4059724887404714</v>
      </c>
      <c r="AB43" s="93">
        <f t="shared" ref="AB43:AF43" si="0">$AE$43/$AE$42*AB42</f>
        <v>5.1499966173315608</v>
      </c>
      <c r="AC43" s="93">
        <f t="shared" si="0"/>
        <v>5.1199896799330968</v>
      </c>
      <c r="AD43" s="93">
        <f t="shared" si="0"/>
        <v>4.9020657874061433</v>
      </c>
      <c r="AE43" s="92">
        <v>4.6801559493755596</v>
      </c>
      <c r="AF43" s="93">
        <f t="shared" si="0"/>
        <v>4.4121168193662204</v>
      </c>
      <c r="AG43" s="93">
        <f t="shared" ref="AG43" si="1">$AE$43/$AE$42*AG42</f>
        <v>4.6689870153986712</v>
      </c>
      <c r="AH43" s="93">
        <f t="shared" ref="AH43" si="2">$AE$43/$AE$42*AH42</f>
        <v>4.1467943587569529</v>
      </c>
      <c r="AI43" s="93">
        <f t="shared" ref="AI43" si="3">$AE$43/$AE$42*AI42</f>
        <v>3.9760843321301986</v>
      </c>
      <c r="AJ43" s="93">
        <f t="shared" ref="AJ43" si="4">$AE$43/$AE$42*AJ42</f>
        <v>4.0125755145655129</v>
      </c>
      <c r="AK43" s="93">
        <f t="shared" ref="AK43" si="5">$AE$43/$AE$42*AK42</f>
        <v>3.8239033449732163</v>
      </c>
      <c r="AL43" s="93">
        <f t="shared" ref="AL43" si="6">$AE$43/$AE$42*AL42</f>
        <v>3.8973273224330329</v>
      </c>
      <c r="AM43" s="93">
        <f t="shared" ref="AM43" si="7">$AE$43/$AE$42*AM42</f>
        <v>4.0760055066344565</v>
      </c>
      <c r="AN43" s="93">
        <f t="shared" ref="AN43" si="8">$AE$43/$AE$42*AN42</f>
        <v>4.1940016538096536</v>
      </c>
      <c r="AO43" s="93">
        <f t="shared" ref="AO43" si="9">$AE$43/$AE$42*AO42</f>
        <v>4.4236198977610028</v>
      </c>
      <c r="AP43" s="93">
        <f t="shared" ref="AP43" si="10">$AE$43/$AE$42*AP42</f>
        <v>4.5773849635273187</v>
      </c>
      <c r="AQ43" s="93">
        <f t="shared" ref="AQ43" si="11">$AE$43/$AE$42*AQ42</f>
        <v>4.9329777020802963</v>
      </c>
      <c r="AR43" s="93">
        <f t="shared" ref="AR43" si="12">$AE$43/$AE$42*AR42</f>
        <v>6.3787010831881839</v>
      </c>
    </row>
    <row r="44" spans="1:44" s="91" customFormat="1">
      <c r="A44" s="90" t="s">
        <v>127</v>
      </c>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f t="shared" ref="AA44" si="13">$AE$44/$AE$42*AA42</f>
        <v>2.8833788408910577</v>
      </c>
      <c r="AB44" s="92">
        <f t="shared" ref="AB44:AD44" si="14">$AE$44/$AE$42*AB42</f>
        <v>2.7468492131623998</v>
      </c>
      <c r="AC44" s="92">
        <f t="shared" si="14"/>
        <v>2.7308444390806081</v>
      </c>
      <c r="AD44" s="92">
        <f t="shared" si="14"/>
        <v>2.6146105622072846</v>
      </c>
      <c r="AE44" s="92">
        <v>2.4962507050501079</v>
      </c>
      <c r="AF44" s="92">
        <f t="shared" ref="AF44:AR44" si="15">$AE$44/$AE$42*AF42</f>
        <v>2.3532869075817557</v>
      </c>
      <c r="AG44" s="92">
        <f t="shared" si="15"/>
        <v>2.4902935404564399</v>
      </c>
      <c r="AH44" s="92">
        <f t="shared" si="15"/>
        <v>2.2117720977066959</v>
      </c>
      <c r="AI44" s="92">
        <f t="shared" si="15"/>
        <v>2.1207206393930016</v>
      </c>
      <c r="AJ44" s="92">
        <f t="shared" si="15"/>
        <v>2.1401839096061277</v>
      </c>
      <c r="AK44" s="92">
        <f t="shared" si="15"/>
        <v>2.0395519987333834</v>
      </c>
      <c r="AL44" s="92">
        <f t="shared" si="15"/>
        <v>2.0787140816819454</v>
      </c>
      <c r="AM44" s="92">
        <f t="shared" si="15"/>
        <v>2.1740155092656535</v>
      </c>
      <c r="AN44" s="92">
        <f t="shared" si="15"/>
        <v>2.236951011579114</v>
      </c>
      <c r="AO44" s="92">
        <f t="shared" si="15"/>
        <v>2.3594222944927528</v>
      </c>
      <c r="AP44" s="92">
        <f t="shared" si="15"/>
        <v>2.4414358337814286</v>
      </c>
      <c r="AQ44" s="92">
        <f t="shared" si="15"/>
        <v>2.6310980232309067</v>
      </c>
      <c r="AR44" s="92">
        <f t="shared" si="15"/>
        <v>3.4022022446360713</v>
      </c>
    </row>
    <row r="45" spans="1:44" s="91" customFormat="1">
      <c r="A45" s="568" t="s">
        <v>172</v>
      </c>
      <c r="B45" s="81">
        <v>0</v>
      </c>
      <c r="C45" s="81">
        <v>0</v>
      </c>
      <c r="D45" s="81">
        <v>0</v>
      </c>
      <c r="E45" s="81">
        <v>0</v>
      </c>
      <c r="F45" s="81">
        <v>0</v>
      </c>
      <c r="G45" s="81">
        <v>0</v>
      </c>
      <c r="H45" s="81">
        <v>0</v>
      </c>
      <c r="I45" s="81">
        <v>0</v>
      </c>
      <c r="J45" s="81">
        <v>0</v>
      </c>
      <c r="K45" s="81">
        <v>0</v>
      </c>
      <c r="L45" s="81">
        <v>0</v>
      </c>
      <c r="M45" s="81">
        <v>0</v>
      </c>
      <c r="N45" s="81">
        <v>0</v>
      </c>
      <c r="O45" s="81">
        <v>0</v>
      </c>
      <c r="P45" s="81">
        <v>0</v>
      </c>
      <c r="Q45" s="81">
        <v>0</v>
      </c>
      <c r="R45" s="81">
        <v>0</v>
      </c>
      <c r="S45" s="81">
        <v>0</v>
      </c>
      <c r="T45" s="81">
        <v>0</v>
      </c>
      <c r="U45" s="81">
        <v>0</v>
      </c>
      <c r="V45" s="81">
        <v>0</v>
      </c>
      <c r="W45" s="81">
        <v>0</v>
      </c>
      <c r="X45" s="81">
        <v>0</v>
      </c>
      <c r="Y45" s="81">
        <v>0</v>
      </c>
      <c r="Z45" s="81">
        <v>0</v>
      </c>
      <c r="AA45" s="81">
        <v>0</v>
      </c>
      <c r="AB45" s="81">
        <v>0</v>
      </c>
      <c r="AC45" s="81">
        <v>0</v>
      </c>
      <c r="AD45" s="81">
        <v>0</v>
      </c>
      <c r="AE45" s="81">
        <v>0</v>
      </c>
      <c r="AF45" s="81">
        <v>0</v>
      </c>
      <c r="AG45" s="81">
        <v>0</v>
      </c>
      <c r="AH45" s="81">
        <v>0</v>
      </c>
      <c r="AI45" s="81">
        <v>0</v>
      </c>
      <c r="AJ45" s="81">
        <v>0</v>
      </c>
      <c r="AK45" s="81">
        <v>0</v>
      </c>
      <c r="AL45" s="81">
        <v>0</v>
      </c>
      <c r="AM45" s="81">
        <v>-0.26355899999999988</v>
      </c>
      <c r="AN45" s="81">
        <v>-0.43926499999999979</v>
      </c>
      <c r="AO45" s="81">
        <v>-0.75211999999999979</v>
      </c>
      <c r="AP45" s="81">
        <v>-0.96068999999999982</v>
      </c>
      <c r="AQ45" s="81">
        <v>-1.64269</v>
      </c>
      <c r="AR45" s="81">
        <v>-1.9426899999999998</v>
      </c>
    </row>
    <row r="46" spans="1:44">
      <c r="A46" s="569" t="s">
        <v>1045</v>
      </c>
      <c r="B46" s="31">
        <v>3.5189118495921292</v>
      </c>
      <c r="C46" s="31">
        <v>3.5521559786344108</v>
      </c>
      <c r="D46" s="31">
        <v>3.5767544345905633</v>
      </c>
      <c r="E46" s="31">
        <v>3.5537972281426025</v>
      </c>
      <c r="F46" s="31">
        <v>2.8276758305322298</v>
      </c>
      <c r="G46" s="31">
        <v>3.1895903266405679</v>
      </c>
      <c r="H46" s="31">
        <v>3.2320795682475154</v>
      </c>
      <c r="I46" s="31">
        <v>2.9584001647966391</v>
      </c>
      <c r="J46" s="31">
        <v>4.9264605019960772</v>
      </c>
      <c r="K46" s="31">
        <v>4.4444190554432215</v>
      </c>
      <c r="L46" s="31">
        <v>3.9499599509151482</v>
      </c>
      <c r="M46" s="31">
        <v>4.8243579454066294</v>
      </c>
      <c r="N46" s="31">
        <v>6.234807741399</v>
      </c>
      <c r="O46" s="31">
        <v>5.9336475425485347</v>
      </c>
      <c r="P46" s="31">
        <v>5.6178477900838271</v>
      </c>
      <c r="Q46" s="31">
        <v>5.2388804353450906</v>
      </c>
      <c r="R46" s="31">
        <v>5.1810750907991121</v>
      </c>
      <c r="S46" s="31">
        <v>4.391322633035819</v>
      </c>
      <c r="T46" s="31">
        <v>3.8607242099455972</v>
      </c>
      <c r="U46" s="31">
        <v>3.1707920670103849</v>
      </c>
      <c r="V46" s="31">
        <v>2.9134599951714835</v>
      </c>
      <c r="W46" s="31">
        <v>4.1555187801984177</v>
      </c>
      <c r="X46" s="31">
        <v>4.0149305893156289</v>
      </c>
      <c r="Y46" s="31">
        <v>3.9784065810937173</v>
      </c>
      <c r="Z46" s="31">
        <v>3.88045335524142</v>
      </c>
      <c r="AA46" s="31">
        <v>3.8110395626391322</v>
      </c>
      <c r="AB46" s="31">
        <v>3.7504879532222959</v>
      </c>
      <c r="AC46" s="31">
        <v>3.7621073866237849</v>
      </c>
      <c r="AD46" s="31">
        <v>3.7627414792576528</v>
      </c>
      <c r="AE46" s="31">
        <v>3.8432613387049677</v>
      </c>
      <c r="AF46" s="31">
        <v>3.6664778166213563</v>
      </c>
      <c r="AG46" s="31">
        <v>3.8345796825813139</v>
      </c>
      <c r="AH46" s="31">
        <v>3.8504255656991737</v>
      </c>
      <c r="AI46" s="101">
        <v>3.8031453792980536</v>
      </c>
      <c r="AJ46" s="101">
        <v>3.6911616084636751</v>
      </c>
      <c r="AK46" s="101">
        <v>3.5016801942970028</v>
      </c>
      <c r="AL46" s="101">
        <v>3.382016938588984</v>
      </c>
      <c r="AM46" s="101">
        <v>3.3005507222854473</v>
      </c>
      <c r="AN46" s="101">
        <v>3.2455829587626592</v>
      </c>
      <c r="AO46" s="101">
        <v>3.1568347951600866</v>
      </c>
      <c r="AP46" s="101">
        <v>3.096792574069168</v>
      </c>
      <c r="AQ46" s="101">
        <v>2.9564743350039819</v>
      </c>
      <c r="AR46" s="101">
        <v>2.824036182013669</v>
      </c>
    </row>
    <row r="47" spans="1:44">
      <c r="A47" s="568" t="s">
        <v>173</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101"/>
      <c r="AJ47" s="101"/>
      <c r="AK47" s="101"/>
      <c r="AL47" s="101"/>
      <c r="AM47" s="101"/>
      <c r="AN47" s="101"/>
      <c r="AO47" s="101"/>
      <c r="AP47" s="101"/>
      <c r="AQ47" s="101"/>
      <c r="AR47" s="101"/>
    </row>
    <row r="48" spans="1:44" ht="24">
      <c r="A48" s="569" t="s">
        <v>1046</v>
      </c>
      <c r="B48" s="31">
        <v>5.2925419725234661</v>
      </c>
      <c r="C48" s="31">
        <v>6.0614379799806413</v>
      </c>
      <c r="D48" s="31">
        <v>5.684691330410395</v>
      </c>
      <c r="E48" s="31">
        <v>6.2378826626332105</v>
      </c>
      <c r="F48" s="31">
        <v>5.6794193138995963</v>
      </c>
      <c r="G48" s="31">
        <v>6.2796680689884266</v>
      </c>
      <c r="H48" s="31">
        <v>6.8322310784054769</v>
      </c>
      <c r="I48" s="31">
        <v>6.3372007185586661</v>
      </c>
      <c r="J48" s="31">
        <v>6.0216193404283711</v>
      </c>
      <c r="K48" s="31">
        <v>6.2695008930709664</v>
      </c>
      <c r="L48" s="31">
        <v>6.1061388385157409</v>
      </c>
      <c r="M48" s="31">
        <v>6.5675467176563753</v>
      </c>
      <c r="N48" s="31">
        <v>6.0467581926139946</v>
      </c>
      <c r="O48" s="31">
        <v>6.2461362208916915</v>
      </c>
      <c r="P48" s="31">
        <v>5.8183135353770901</v>
      </c>
      <c r="Q48" s="31">
        <v>5.9206656118122911</v>
      </c>
      <c r="R48" s="31">
        <v>5.2739440543646543</v>
      </c>
      <c r="S48" s="31">
        <v>4.8775884235271656</v>
      </c>
      <c r="T48" s="31">
        <v>5.0964848834027539</v>
      </c>
      <c r="U48" s="31">
        <v>4.1016016617349473</v>
      </c>
      <c r="V48" s="31">
        <v>4.6084220491902084</v>
      </c>
      <c r="W48" s="31">
        <v>3.836207775791499</v>
      </c>
      <c r="X48" s="31">
        <v>3.9129382579663528</v>
      </c>
      <c r="Y48" s="31">
        <v>3.8804400169733242</v>
      </c>
      <c r="Z48" s="31">
        <v>3.1997235416295329</v>
      </c>
      <c r="AA48" s="31">
        <v>3.1852695705093526</v>
      </c>
      <c r="AB48" s="31">
        <v>3.3229168422838549</v>
      </c>
      <c r="AC48" s="31">
        <v>3.3255138969428768</v>
      </c>
      <c r="AD48" s="31">
        <v>3.2080558689999421</v>
      </c>
      <c r="AE48" s="31">
        <v>3.1200962235755236</v>
      </c>
      <c r="AF48" s="31">
        <v>3.5310834185464417</v>
      </c>
      <c r="AG48" s="31">
        <v>3.5259374202038094</v>
      </c>
      <c r="AH48" s="31">
        <v>3.2483226846071913</v>
      </c>
      <c r="AI48" s="101">
        <v>2.9704971751605123</v>
      </c>
      <c r="AJ48" s="101">
        <v>2.8198058855041297</v>
      </c>
      <c r="AK48" s="101">
        <v>2.6866969426974889</v>
      </c>
      <c r="AL48" s="101">
        <v>2.69876299736424</v>
      </c>
      <c r="AM48" s="101">
        <v>2.645454995270065</v>
      </c>
      <c r="AN48" s="101">
        <v>2.5826681977876769</v>
      </c>
      <c r="AO48" s="101">
        <v>2.5694985929872858</v>
      </c>
      <c r="AP48" s="101">
        <v>2.5613011023090033</v>
      </c>
      <c r="AQ48" s="101">
        <v>2.5553604296552943</v>
      </c>
      <c r="AR48" s="101">
        <v>2.5648860069946817</v>
      </c>
    </row>
    <row r="49" spans="1:44">
      <c r="A49" s="568" t="s">
        <v>174</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101"/>
      <c r="AJ49" s="101"/>
      <c r="AK49" s="101"/>
      <c r="AL49" s="101"/>
      <c r="AM49" s="101"/>
      <c r="AN49" s="101"/>
      <c r="AO49" s="101"/>
      <c r="AP49" s="101"/>
      <c r="AQ49" s="101"/>
      <c r="AR49" s="101"/>
    </row>
    <row r="50" spans="1:44">
      <c r="A50" s="569" t="s">
        <v>1047</v>
      </c>
      <c r="B50" s="31">
        <v>8.7876275542459243</v>
      </c>
      <c r="C50" s="31">
        <v>10.765488453289803</v>
      </c>
      <c r="D50" s="31">
        <v>9.9286430744167227</v>
      </c>
      <c r="E50" s="31">
        <v>10.311184742415804</v>
      </c>
      <c r="F50" s="31">
        <v>10.388026873571921</v>
      </c>
      <c r="G50" s="31">
        <v>11.079171450795013</v>
      </c>
      <c r="H50" s="31">
        <v>11.033489209516082</v>
      </c>
      <c r="I50" s="31">
        <v>10.854996252516983</v>
      </c>
      <c r="J50" s="31">
        <v>10.976558988528227</v>
      </c>
      <c r="K50" s="31">
        <v>11.66034951681219</v>
      </c>
      <c r="L50" s="31">
        <v>11.050966071007085</v>
      </c>
      <c r="M50" s="31">
        <v>11.529160495717921</v>
      </c>
      <c r="N50" s="31">
        <v>11.485614961106613</v>
      </c>
      <c r="O50" s="31">
        <v>11.200504008593549</v>
      </c>
      <c r="P50" s="31">
        <v>10.713722433951851</v>
      </c>
      <c r="Q50" s="31">
        <v>11.438045415730624</v>
      </c>
      <c r="R50" s="31">
        <v>11.775815410680094</v>
      </c>
      <c r="S50" s="31">
        <v>11.865144405060159</v>
      </c>
      <c r="T50" s="31">
        <v>11.150700513655401</v>
      </c>
      <c r="U50" s="31">
        <v>10.386367722803143</v>
      </c>
      <c r="V50" s="31">
        <v>11.593018682171609</v>
      </c>
      <c r="W50" s="31">
        <v>11.048136366744924</v>
      </c>
      <c r="X50" s="31">
        <v>10.594401714685457</v>
      </c>
      <c r="Y50" s="31">
        <v>10.820400282570667</v>
      </c>
      <c r="Z50" s="31">
        <v>10.559788945102138</v>
      </c>
      <c r="AA50" s="31">
        <v>10.228531890345666</v>
      </c>
      <c r="AB50" s="31">
        <v>10.497182932994413</v>
      </c>
      <c r="AC50" s="31">
        <v>9.8254322419418916</v>
      </c>
      <c r="AD50" s="31">
        <v>9.6881524173409268</v>
      </c>
      <c r="AE50" s="31">
        <v>9.5608865323773014</v>
      </c>
      <c r="AF50" s="31">
        <v>8.728689473221861</v>
      </c>
      <c r="AG50" s="31">
        <v>8.9654233306597462</v>
      </c>
      <c r="AH50" s="31">
        <v>7.9574925370217313</v>
      </c>
      <c r="AI50" s="101">
        <v>7.2794615359632031</v>
      </c>
      <c r="AJ50" s="101">
        <v>6.7500474554445979</v>
      </c>
      <c r="AK50" s="101">
        <v>6.2637216218691734</v>
      </c>
      <c r="AL50" s="101">
        <v>6.2972808720843236</v>
      </c>
      <c r="AM50" s="101">
        <v>6.2244249970369472</v>
      </c>
      <c r="AN50" s="101">
        <v>6.1832438307234012</v>
      </c>
      <c r="AO50" s="101">
        <v>6.1348806168863854</v>
      </c>
      <c r="AP50" s="101">
        <v>6.1084839281166383</v>
      </c>
      <c r="AQ50" s="101">
        <v>6.084730974384974</v>
      </c>
      <c r="AR50" s="101">
        <v>6.1250191401881073</v>
      </c>
    </row>
    <row r="51" spans="1:44">
      <c r="A51" s="568" t="s">
        <v>175</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101"/>
      <c r="AJ51" s="101"/>
      <c r="AK51" s="101"/>
      <c r="AL51" s="101"/>
      <c r="AM51" s="101"/>
      <c r="AN51" s="101"/>
      <c r="AO51" s="101"/>
      <c r="AP51" s="101"/>
      <c r="AQ51" s="101"/>
      <c r="AR51" s="101"/>
    </row>
    <row r="52" spans="1:44" s="91" customFormat="1">
      <c r="A52" s="90" t="s">
        <v>128</v>
      </c>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f t="shared" ref="AA52:AC52" si="16">$AE$52/$AE$50*AA50</f>
        <v>1.9524970346944452</v>
      </c>
      <c r="AB52" s="92">
        <f t="shared" si="16"/>
        <v>2.0037791120993504</v>
      </c>
      <c r="AC52" s="92">
        <f t="shared" si="16"/>
        <v>1.8755504233300508</v>
      </c>
      <c r="AD52" s="92">
        <f>$AE$52/$AE$50*AD50</f>
        <v>1.8493454455942187</v>
      </c>
      <c r="AE52" s="92">
        <v>1.8250520019531249</v>
      </c>
      <c r="AF52" s="92">
        <f>$AE$52/$AE$50*AF50</f>
        <v>1.6661961360574451</v>
      </c>
      <c r="AG52" s="92">
        <f t="shared" ref="AG52:AR52" si="17">$AE$52/$AE$50*AG50</f>
        <v>1.7113856275323187</v>
      </c>
      <c r="AH52" s="92">
        <f t="shared" si="17"/>
        <v>1.5189844201202414</v>
      </c>
      <c r="AI52" s="92">
        <f t="shared" si="17"/>
        <v>1.3895568998084342</v>
      </c>
      <c r="AJ52" s="92">
        <f t="shared" si="17"/>
        <v>1.2884984650868574</v>
      </c>
      <c r="AK52" s="92">
        <f t="shared" si="17"/>
        <v>1.1956650303250647</v>
      </c>
      <c r="AL52" s="92">
        <f t="shared" si="17"/>
        <v>1.2020710656421658</v>
      </c>
      <c r="AM52" s="92">
        <f t="shared" si="17"/>
        <v>1.1881638029464963</v>
      </c>
      <c r="AN52" s="92">
        <f t="shared" si="17"/>
        <v>1.1803028404961224</v>
      </c>
      <c r="AO52" s="92">
        <f t="shared" si="17"/>
        <v>1.1710709162456643</v>
      </c>
      <c r="AP52" s="92">
        <f t="shared" si="17"/>
        <v>1.1660321230834385</v>
      </c>
      <c r="AQ52" s="92">
        <f t="shared" si="17"/>
        <v>1.1614979854160297</v>
      </c>
      <c r="AR52" s="92">
        <f t="shared" si="17"/>
        <v>1.1691884853926824</v>
      </c>
    </row>
    <row r="53" spans="1:44" ht="24">
      <c r="A53" s="569" t="s">
        <v>1048</v>
      </c>
      <c r="B53" s="31">
        <v>25.544066964225991</v>
      </c>
      <c r="C53" s="31">
        <v>25.624745573113326</v>
      </c>
      <c r="D53" s="31">
        <v>24.027743431830388</v>
      </c>
      <c r="E53" s="31">
        <v>23.116434801494943</v>
      </c>
      <c r="F53" s="31">
        <v>22.994583255119945</v>
      </c>
      <c r="G53" s="31">
        <v>22.038662004402617</v>
      </c>
      <c r="H53" s="31">
        <v>21.553291490737148</v>
      </c>
      <c r="I53" s="31">
        <v>23.046139418869846</v>
      </c>
      <c r="J53" s="31">
        <v>23.377352720605025</v>
      </c>
      <c r="K53" s="31">
        <v>23.964246864309882</v>
      </c>
      <c r="L53" s="31">
        <v>25.27373802314774</v>
      </c>
      <c r="M53" s="31">
        <v>23.363839133049332</v>
      </c>
      <c r="N53" s="31">
        <v>24.631744576970856</v>
      </c>
      <c r="O53" s="31">
        <v>24.367397909548679</v>
      </c>
      <c r="P53" s="31">
        <v>24.471860143982262</v>
      </c>
      <c r="Q53" s="31">
        <v>24.887311621170056</v>
      </c>
      <c r="R53" s="31">
        <v>25.832716265366823</v>
      </c>
      <c r="S53" s="31">
        <v>26.625407981520098</v>
      </c>
      <c r="T53" s="31">
        <v>24.172777022344423</v>
      </c>
      <c r="U53" s="31">
        <v>15.269824557191068</v>
      </c>
      <c r="V53" s="31">
        <v>19.347420548764092</v>
      </c>
      <c r="W53" s="31">
        <v>17.738775924400759</v>
      </c>
      <c r="X53" s="31">
        <v>17.105892952375264</v>
      </c>
      <c r="Y53" s="31">
        <v>18.689247177342398</v>
      </c>
      <c r="Z53" s="31">
        <v>18.301823966605678</v>
      </c>
      <c r="AA53" s="31">
        <v>17.862206793707411</v>
      </c>
      <c r="AB53" s="31">
        <v>17.327965401250033</v>
      </c>
      <c r="AC53" s="31">
        <v>18.757441123539667</v>
      </c>
      <c r="AD53" s="31">
        <v>18.365811430322381</v>
      </c>
      <c r="AE53" s="31">
        <v>16.906441841029594</v>
      </c>
      <c r="AF53" s="31">
        <v>12.781351010198888</v>
      </c>
      <c r="AG53" s="31">
        <v>15.831124895260899</v>
      </c>
      <c r="AH53" s="31">
        <v>14.169135969626986</v>
      </c>
      <c r="AI53" s="101">
        <v>13.800076471176713</v>
      </c>
      <c r="AJ53" s="101">
        <v>14.759512581052665</v>
      </c>
      <c r="AK53" s="101">
        <v>13.035389011668471</v>
      </c>
      <c r="AL53" s="101">
        <v>11.683685656461735</v>
      </c>
      <c r="AM53" s="101">
        <v>11.638381988366243</v>
      </c>
      <c r="AN53" s="101">
        <v>11.606169831008621</v>
      </c>
      <c r="AO53" s="101">
        <v>11.553731818073176</v>
      </c>
      <c r="AP53" s="101">
        <v>11.516629722291992</v>
      </c>
      <c r="AQ53" s="101">
        <v>11.428354807885702</v>
      </c>
      <c r="AR53" s="101">
        <v>11.352559681296414</v>
      </c>
    </row>
    <row r="54" spans="1:44">
      <c r="A54" s="568" t="s">
        <v>176</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101">
        <v>0</v>
      </c>
      <c r="AG54" s="101">
        <v>0</v>
      </c>
      <c r="AH54" s="101">
        <v>0</v>
      </c>
      <c r="AI54" s="101">
        <v>0</v>
      </c>
      <c r="AJ54" s="101">
        <v>0</v>
      </c>
      <c r="AK54" s="101">
        <v>0</v>
      </c>
      <c r="AL54" s="101">
        <v>0</v>
      </c>
      <c r="AM54" s="101">
        <v>0</v>
      </c>
      <c r="AN54" s="101">
        <v>0</v>
      </c>
      <c r="AO54" s="101">
        <v>0</v>
      </c>
      <c r="AP54" s="101">
        <v>0</v>
      </c>
      <c r="AQ54" s="101">
        <v>0</v>
      </c>
      <c r="AR54" s="101">
        <v>-0.33499999999999996</v>
      </c>
    </row>
    <row r="55" spans="1:44" ht="21.6" customHeight="1">
      <c r="A55" s="569" t="s">
        <v>1049</v>
      </c>
      <c r="B55" s="31">
        <v>7.4444438003030067</v>
      </c>
      <c r="C55" s="31">
        <v>8.0973743154633002</v>
      </c>
      <c r="D55" s="31">
        <v>7.8745088359336695</v>
      </c>
      <c r="E55" s="31">
        <v>6.3312355071359727</v>
      </c>
      <c r="F55" s="31">
        <v>5.8225916928223622</v>
      </c>
      <c r="G55" s="31">
        <v>5.7210447764469121</v>
      </c>
      <c r="H55" s="31">
        <v>5.589638822625842</v>
      </c>
      <c r="I55" s="31">
        <v>5.6017619372607399</v>
      </c>
      <c r="J55" s="31">
        <v>6.3009834659622683</v>
      </c>
      <c r="K55" s="31">
        <v>6.8486191095540114</v>
      </c>
      <c r="L55" s="31">
        <v>5.5601272360146048</v>
      </c>
      <c r="M55" s="31">
        <v>5.0301491866617942</v>
      </c>
      <c r="N55" s="31">
        <v>6.0301117599491185</v>
      </c>
      <c r="O55" s="31">
        <v>5.3313774153806097</v>
      </c>
      <c r="P55" s="31">
        <v>4.3640892209184523</v>
      </c>
      <c r="Q55" s="31">
        <v>3.6538173174741937</v>
      </c>
      <c r="R55" s="31">
        <v>3.5817758821824421</v>
      </c>
      <c r="S55" s="31">
        <v>3.2942417380363147</v>
      </c>
      <c r="T55" s="31">
        <v>2.8573460102631825</v>
      </c>
      <c r="U55" s="31">
        <v>2.2319651054339293</v>
      </c>
      <c r="V55" s="31">
        <v>2.5447681523688161</v>
      </c>
      <c r="W55" s="31">
        <v>2.4251880991812387</v>
      </c>
      <c r="X55" s="31">
        <v>2.4723949505226761</v>
      </c>
      <c r="Y55" s="31">
        <v>2.3492892390484337</v>
      </c>
      <c r="Z55" s="31">
        <v>2.3399686698327575</v>
      </c>
      <c r="AA55" s="31">
        <v>2.3489627782350597</v>
      </c>
      <c r="AB55" s="31">
        <v>2.763898930280317</v>
      </c>
      <c r="AC55" s="31">
        <v>2.5902953995381304</v>
      </c>
      <c r="AD55" s="31">
        <v>2.5320615684254015</v>
      </c>
      <c r="AE55" s="31">
        <v>2.3971131767946958</v>
      </c>
      <c r="AF55" s="31">
        <v>1.924205268005184</v>
      </c>
      <c r="AG55" s="31">
        <v>2.1676297186799958</v>
      </c>
      <c r="AH55" s="31">
        <v>2.1087224439121779</v>
      </c>
      <c r="AI55" s="101">
        <v>2.1159172759668765</v>
      </c>
      <c r="AJ55" s="101">
        <v>2.2254727155645697</v>
      </c>
      <c r="AK55" s="101">
        <v>2.1857542961921084</v>
      </c>
      <c r="AL55" s="101">
        <v>2.184290437305064</v>
      </c>
      <c r="AM55" s="101">
        <v>2.1958263573408749</v>
      </c>
      <c r="AN55" s="101">
        <v>2.2034119541187449</v>
      </c>
      <c r="AO55" s="101">
        <v>2.2132799489902375</v>
      </c>
      <c r="AP55" s="101">
        <v>2.2197492825349534</v>
      </c>
      <c r="AQ55" s="101">
        <v>2.2323810802846049</v>
      </c>
      <c r="AR55" s="101">
        <v>2.2523079279296341</v>
      </c>
    </row>
    <row r="56" spans="1:44">
      <c r="A56" s="568" t="s">
        <v>177</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101"/>
      <c r="AJ56" s="101"/>
      <c r="AK56" s="101"/>
      <c r="AL56" s="101"/>
      <c r="AM56" s="101"/>
      <c r="AN56" s="101"/>
      <c r="AO56" s="101"/>
      <c r="AP56" s="101"/>
      <c r="AQ56" s="101"/>
      <c r="AR56" s="101"/>
    </row>
    <row r="57" spans="1:44" s="91" customFormat="1">
      <c r="A57" s="90" t="s">
        <v>129</v>
      </c>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f t="shared" ref="AA57:AC57" si="18">$AE$57/$AE$55*AA55</f>
        <v>1.2066941698882332</v>
      </c>
      <c r="AB57" s="92">
        <f t="shared" si="18"/>
        <v>1.4198525222419818</v>
      </c>
      <c r="AC57" s="92">
        <f t="shared" si="18"/>
        <v>1.330670024179577</v>
      </c>
      <c r="AD57" s="92">
        <f>$AE$57/$AE$55*AD55</f>
        <v>1.3007545120458408</v>
      </c>
      <c r="AE57" s="92">
        <v>1.2314296853923843</v>
      </c>
      <c r="AF57" s="92">
        <f>$AE$57/$AE$55*AF55</f>
        <v>0.98849045207719599</v>
      </c>
      <c r="AG57" s="92">
        <f t="shared" ref="AG57:AR57" si="19">$AE$57/$AE$55*AG55</f>
        <v>1.1135409076055922</v>
      </c>
      <c r="AH57" s="92">
        <f t="shared" si="19"/>
        <v>1.0832794382945545</v>
      </c>
      <c r="AI57" s="92">
        <f t="shared" si="19"/>
        <v>1.086975521508037</v>
      </c>
      <c r="AJ57" s="92">
        <f t="shared" si="19"/>
        <v>1.1432556428735232</v>
      </c>
      <c r="AK57" s="92">
        <f t="shared" si="19"/>
        <v>1.1228517499136115</v>
      </c>
      <c r="AL57" s="92">
        <f t="shared" si="19"/>
        <v>1.1220997456669275</v>
      </c>
      <c r="AM57" s="92">
        <f t="shared" si="19"/>
        <v>1.1280259048979262</v>
      </c>
      <c r="AN57" s="92">
        <f t="shared" si="19"/>
        <v>1.1319227292715572</v>
      </c>
      <c r="AO57" s="92">
        <f t="shared" si="19"/>
        <v>1.1369920526300414</v>
      </c>
      <c r="AP57" s="92">
        <f t="shared" si="19"/>
        <v>1.1403154373783246</v>
      </c>
      <c r="AQ57" s="92">
        <f t="shared" si="19"/>
        <v>1.146804563915768</v>
      </c>
      <c r="AR57" s="92">
        <f t="shared" si="19"/>
        <v>1.1570412569363253</v>
      </c>
    </row>
    <row r="58" spans="1:44" ht="24">
      <c r="A58" s="569" t="s">
        <v>1050</v>
      </c>
      <c r="B58" s="31">
        <v>29.978357327521863</v>
      </c>
      <c r="C58" s="31">
        <v>32.449664813145901</v>
      </c>
      <c r="D58" s="31">
        <v>27.358701301499401</v>
      </c>
      <c r="E58" s="31">
        <v>25.206105192113007</v>
      </c>
      <c r="F58" s="31">
        <v>26.818100761600501</v>
      </c>
      <c r="G58" s="31">
        <v>26.194645550704539</v>
      </c>
      <c r="H58" s="31">
        <v>26.033242505358807</v>
      </c>
      <c r="I58" s="31">
        <v>24.930879519725018</v>
      </c>
      <c r="J58" s="31">
        <v>25.397438284406061</v>
      </c>
      <c r="K58" s="31">
        <v>26.000272426259361</v>
      </c>
      <c r="L58" s="31">
        <v>25.571102577716747</v>
      </c>
      <c r="M58" s="31">
        <v>26.578134888607842</v>
      </c>
      <c r="N58" s="31">
        <v>25.062810919866461</v>
      </c>
      <c r="O58" s="31">
        <v>24.862556430745794</v>
      </c>
      <c r="P58" s="31">
        <v>25.41618794547697</v>
      </c>
      <c r="Q58" s="31">
        <v>25.282457593600967</v>
      </c>
      <c r="R58" s="31">
        <v>26.726397680240328</v>
      </c>
      <c r="S58" s="31">
        <v>26.807475941999662</v>
      </c>
      <c r="T58" s="31">
        <v>25.409341680467936</v>
      </c>
      <c r="U58" s="31">
        <v>22.329587573434242</v>
      </c>
      <c r="V58" s="31">
        <v>23.170082379545086</v>
      </c>
      <c r="W58" s="31">
        <v>22.978049543061758</v>
      </c>
      <c r="X58" s="31">
        <v>21.652751532080714</v>
      </c>
      <c r="Y58" s="31">
        <v>21.16144753038018</v>
      </c>
      <c r="Z58" s="31">
        <v>20.3007861572816</v>
      </c>
      <c r="AA58" s="31">
        <v>19.045869103576859</v>
      </c>
      <c r="AB58" s="31">
        <v>19.472583364394346</v>
      </c>
      <c r="AC58" s="31">
        <v>18.688102915254429</v>
      </c>
      <c r="AD58" s="31">
        <v>19.17571288704605</v>
      </c>
      <c r="AE58" s="31">
        <v>19.344392913926921</v>
      </c>
      <c r="AF58" s="31">
        <v>17.650991780397632</v>
      </c>
      <c r="AG58" s="31">
        <v>19.534200631184596</v>
      </c>
      <c r="AH58" s="31">
        <v>18.52947572778664</v>
      </c>
      <c r="AI58" s="101">
        <v>17.751322801196306</v>
      </c>
      <c r="AJ58" s="101">
        <v>17.515365798428387</v>
      </c>
      <c r="AK58" s="101">
        <v>16.932916403934321</v>
      </c>
      <c r="AL58" s="101">
        <v>16.840271401859251</v>
      </c>
      <c r="AM58" s="101">
        <v>16.42899970597535</v>
      </c>
      <c r="AN58" s="101">
        <v>16.150842956197472</v>
      </c>
      <c r="AO58" s="101">
        <v>15.729857759629088</v>
      </c>
      <c r="AP58" s="101">
        <v>15.442404670262157</v>
      </c>
      <c r="AQ58" s="101">
        <v>14.752133101133809</v>
      </c>
      <c r="AR58" s="101">
        <v>14.090443162031887</v>
      </c>
    </row>
    <row r="59" spans="1:44">
      <c r="A59" s="567" t="s">
        <v>178</v>
      </c>
      <c r="B59" s="101">
        <v>0</v>
      </c>
      <c r="C59" s="101">
        <v>0</v>
      </c>
      <c r="D59" s="101">
        <v>0</v>
      </c>
      <c r="E59" s="101">
        <v>0</v>
      </c>
      <c r="F59" s="101">
        <v>0</v>
      </c>
      <c r="G59" s="101">
        <v>0</v>
      </c>
      <c r="H59" s="101">
        <v>0</v>
      </c>
      <c r="I59" s="101">
        <v>0</v>
      </c>
      <c r="J59" s="101">
        <v>0</v>
      </c>
      <c r="K59" s="101">
        <v>0</v>
      </c>
      <c r="L59" s="101">
        <v>0</v>
      </c>
      <c r="M59" s="101">
        <v>0</v>
      </c>
      <c r="N59" s="101">
        <v>0</v>
      </c>
      <c r="O59" s="101">
        <v>0</v>
      </c>
      <c r="P59" s="101">
        <v>0</v>
      </c>
      <c r="Q59" s="101">
        <v>0</v>
      </c>
      <c r="R59" s="101">
        <v>0</v>
      </c>
      <c r="S59" s="101">
        <v>0</v>
      </c>
      <c r="T59" s="101">
        <v>0</v>
      </c>
      <c r="U59" s="101">
        <v>0</v>
      </c>
      <c r="V59" s="101">
        <v>0</v>
      </c>
      <c r="W59" s="101">
        <v>0</v>
      </c>
      <c r="X59" s="101">
        <v>0</v>
      </c>
      <c r="Y59" s="101">
        <v>0</v>
      </c>
      <c r="Z59" s="101">
        <v>0</v>
      </c>
      <c r="AA59" s="101">
        <v>0</v>
      </c>
      <c r="AB59" s="101">
        <v>0</v>
      </c>
      <c r="AC59" s="101">
        <v>0</v>
      </c>
      <c r="AD59" s="101">
        <v>0</v>
      </c>
      <c r="AE59" s="101">
        <v>0</v>
      </c>
      <c r="AF59" s="101">
        <v>0</v>
      </c>
      <c r="AG59" s="101">
        <v>0</v>
      </c>
      <c r="AH59" s="101">
        <v>0</v>
      </c>
      <c r="AI59" s="101">
        <v>0</v>
      </c>
      <c r="AJ59" s="101">
        <v>0</v>
      </c>
      <c r="AK59" s="101">
        <v>0</v>
      </c>
      <c r="AL59" s="101">
        <v>-1.38</v>
      </c>
      <c r="AM59" s="101">
        <v>-1.7865</v>
      </c>
      <c r="AN59" s="101">
        <v>-2.0575000000000001</v>
      </c>
      <c r="AO59" s="101">
        <v>-2.4640000000000004</v>
      </c>
      <c r="AP59" s="101">
        <v>-2.7350000000000003</v>
      </c>
      <c r="AQ59" s="101">
        <v>-3.4125000000000005</v>
      </c>
      <c r="AR59" s="101">
        <v>-4.09</v>
      </c>
    </row>
    <row r="60" spans="1:44" s="91" customFormat="1">
      <c r="A60" s="90" t="s">
        <v>130</v>
      </c>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f t="shared" ref="AA60:AC60" si="20">$AE$60/$AE$58*AA58</f>
        <v>9.2831573982224693</v>
      </c>
      <c r="AB60" s="92">
        <f t="shared" si="20"/>
        <v>9.4911424277158698</v>
      </c>
      <c r="AC60" s="92">
        <f t="shared" si="20"/>
        <v>9.1087783861701652</v>
      </c>
      <c r="AD60" s="92">
        <f>$AE$60/$AE$58*AD58</f>
        <v>9.3464446272047805</v>
      </c>
      <c r="AE60" s="92">
        <v>9.4286610506694082</v>
      </c>
      <c r="AF60" s="92">
        <f>$AE$60/$AE$58*AF58</f>
        <v>8.603279484966615</v>
      </c>
      <c r="AG60" s="92">
        <f t="shared" ref="AG60:AR60" si="21">$AE$60/$AE$58*AG58</f>
        <v>9.5211753331690918</v>
      </c>
      <c r="AH60" s="92">
        <f t="shared" si="21"/>
        <v>9.0314618226207362</v>
      </c>
      <c r="AI60" s="92">
        <f t="shared" si="21"/>
        <v>8.6521818822756185</v>
      </c>
      <c r="AJ60" s="92">
        <f t="shared" si="21"/>
        <v>8.5371739514747063</v>
      </c>
      <c r="AK60" s="92">
        <f t="shared" si="21"/>
        <v>8.2532819759401086</v>
      </c>
      <c r="AL60" s="92">
        <f t="shared" si="21"/>
        <v>8.2081258251892883</v>
      </c>
      <c r="AM60" s="92">
        <f t="shared" si="21"/>
        <v>8.0076676646526757</v>
      </c>
      <c r="AN60" s="92">
        <f t="shared" si="21"/>
        <v>7.8720911322548393</v>
      </c>
      <c r="AO60" s="92">
        <f t="shared" si="21"/>
        <v>7.666898509076935</v>
      </c>
      <c r="AP60" s="92">
        <f t="shared" si="21"/>
        <v>7.5267908427537744</v>
      </c>
      <c r="AQ60" s="92">
        <f t="shared" si="21"/>
        <v>7.1903452025528223</v>
      </c>
      <c r="AR60" s="92">
        <f t="shared" si="21"/>
        <v>6.8678305501576853</v>
      </c>
    </row>
    <row r="61" spans="1:44" s="91" customFormat="1" ht="18.600000000000001" customHeight="1">
      <c r="A61" s="90" t="s">
        <v>1053</v>
      </c>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f t="shared" ref="AA61:AC61" si="22">$AE$61/$AE$58*AA58</f>
        <v>2.9865698437476187</v>
      </c>
      <c r="AB61" s="92">
        <f t="shared" si="22"/>
        <v>3.0534826181830588</v>
      </c>
      <c r="AC61" s="92">
        <f t="shared" si="22"/>
        <v>2.9304687698955654</v>
      </c>
      <c r="AD61" s="92">
        <f>$AE$61/$AE$58*AD58</f>
        <v>3.0069305595541946</v>
      </c>
      <c r="AE61" s="92">
        <v>3.0333811604055017</v>
      </c>
      <c r="AF61" s="92">
        <f>$AE$61/$AE$58*AF58</f>
        <v>2.767840074763114</v>
      </c>
      <c r="AG61" s="92">
        <f t="shared" ref="AG61:AR61" si="23">$AE$61/$AE$58*AG58</f>
        <v>3.0631447800854188</v>
      </c>
      <c r="AH61" s="92">
        <f t="shared" si="23"/>
        <v>2.9055945479887884</v>
      </c>
      <c r="AI61" s="92">
        <f t="shared" si="23"/>
        <v>2.7835729142297811</v>
      </c>
      <c r="AJ61" s="92">
        <f t="shared" si="23"/>
        <v>2.7465726563231785</v>
      </c>
      <c r="AK61" s="92">
        <f t="shared" si="23"/>
        <v>2.6552391609785975</v>
      </c>
      <c r="AL61" s="92">
        <f t="shared" si="23"/>
        <v>2.6407115609060243</v>
      </c>
      <c r="AM61" s="92">
        <f t="shared" si="23"/>
        <v>2.5762203246261781</v>
      </c>
      <c r="AN61" s="92">
        <f t="shared" si="23"/>
        <v>2.5326027529520427</v>
      </c>
      <c r="AO61" s="92">
        <f t="shared" si="23"/>
        <v>2.4665883492040312</v>
      </c>
      <c r="AP61" s="92">
        <f t="shared" si="23"/>
        <v>2.4215130248107677</v>
      </c>
      <c r="AQ61" s="92">
        <f t="shared" si="23"/>
        <v>2.3132720072366255</v>
      </c>
      <c r="AR61" s="92">
        <f t="shared" si="23"/>
        <v>2.2095128557226698</v>
      </c>
    </row>
    <row r="62" spans="1:44">
      <c r="A62" s="569" t="s">
        <v>1051</v>
      </c>
      <c r="B62" s="31">
        <v>4.5513337520617503</v>
      </c>
      <c r="C62" s="31">
        <v>5.6939827652968127</v>
      </c>
      <c r="D62" s="31">
        <v>5.1141920005400818</v>
      </c>
      <c r="E62" s="31">
        <v>4.8532870982423031</v>
      </c>
      <c r="F62" s="31">
        <v>5.1639936573052889</v>
      </c>
      <c r="G62" s="31">
        <v>5.2353162771657971</v>
      </c>
      <c r="H62" s="31">
        <v>5.5426209918660163</v>
      </c>
      <c r="I62" s="31">
        <v>5.4949740566902294</v>
      </c>
      <c r="J62" s="31">
        <v>5.5405886672722673</v>
      </c>
      <c r="K62" s="31">
        <v>5.3576372453704488</v>
      </c>
      <c r="L62" s="31">
        <v>5.3277321415662717</v>
      </c>
      <c r="M62" s="31">
        <v>5.1393973680128369</v>
      </c>
      <c r="N62" s="31">
        <v>4.6315135790367137</v>
      </c>
      <c r="O62" s="31">
        <v>4.7077538383999897</v>
      </c>
      <c r="P62" s="31">
        <v>4.3403563675816113</v>
      </c>
      <c r="Q62" s="31">
        <v>4.0946617371770992</v>
      </c>
      <c r="R62" s="31">
        <v>4.0315713831028912</v>
      </c>
      <c r="S62" s="31">
        <v>3.6802280378880914</v>
      </c>
      <c r="T62" s="31">
        <v>3.262037540980709</v>
      </c>
      <c r="U62" s="31">
        <v>2.8071179426256383</v>
      </c>
      <c r="V62" s="31">
        <v>3.0011596759586157</v>
      </c>
      <c r="W62" s="31">
        <v>2.4873102911510578</v>
      </c>
      <c r="X62" s="31">
        <v>2.5308987088342509</v>
      </c>
      <c r="Y62" s="31">
        <v>2.8997323248029354</v>
      </c>
      <c r="Z62" s="31">
        <v>2.7545014806974719</v>
      </c>
      <c r="AA62" s="31">
        <v>2.6490151557242108</v>
      </c>
      <c r="AB62" s="31">
        <v>2.7528225418726562</v>
      </c>
      <c r="AC62" s="31">
        <v>2.5394042890373325</v>
      </c>
      <c r="AD62" s="31">
        <v>2.483633816497266</v>
      </c>
      <c r="AE62" s="31">
        <v>2.387708850515843</v>
      </c>
      <c r="AF62" s="31">
        <v>2.245857353228625</v>
      </c>
      <c r="AG62" s="31">
        <v>2.3657715609633043</v>
      </c>
      <c r="AH62" s="31">
        <v>2.1958991490059794</v>
      </c>
      <c r="AI62" s="101">
        <v>2.0121200376890647</v>
      </c>
      <c r="AJ62" s="101">
        <v>1.938512897730555</v>
      </c>
      <c r="AK62" s="101">
        <v>1.8795019946793212</v>
      </c>
      <c r="AL62" s="101">
        <v>1.9235356059084274</v>
      </c>
      <c r="AM62" s="101">
        <v>1.9179676876630347</v>
      </c>
      <c r="AN62" s="101">
        <v>1.9139334663671281</v>
      </c>
      <c r="AO62" s="101">
        <v>1.9079553987272102</v>
      </c>
      <c r="AP62" s="101">
        <v>1.9036482114226527</v>
      </c>
      <c r="AQ62" s="101">
        <v>1.9039112944205965</v>
      </c>
      <c r="AR62" s="101">
        <v>1.9181513613007579</v>
      </c>
    </row>
    <row r="63" spans="1:44">
      <c r="A63" s="568" t="s">
        <v>179</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101"/>
      <c r="AJ63" s="101"/>
      <c r="AK63" s="101"/>
      <c r="AL63" s="101"/>
      <c r="AM63" s="101"/>
      <c r="AN63" s="101"/>
      <c r="AO63" s="101"/>
      <c r="AP63" s="101"/>
      <c r="AQ63" s="101"/>
      <c r="AR63" s="101"/>
    </row>
    <row r="64" spans="1:44" ht="25.95" customHeight="1">
      <c r="A64" s="569" t="s">
        <v>1052</v>
      </c>
      <c r="B64" s="31">
        <v>5.5680452264994651</v>
      </c>
      <c r="C64" s="31">
        <v>6.2644494733622649</v>
      </c>
      <c r="D64" s="31">
        <v>5.4976023808315819</v>
      </c>
      <c r="E64" s="31">
        <v>5.9581003573216682</v>
      </c>
      <c r="F64" s="31">
        <v>5.3899031608811692</v>
      </c>
      <c r="G64" s="31">
        <v>6.015265478501072</v>
      </c>
      <c r="H64" s="31">
        <v>6.2810761326061488</v>
      </c>
      <c r="I64" s="31">
        <v>5.9190503208656793</v>
      </c>
      <c r="J64" s="31">
        <v>5.8995923379476007</v>
      </c>
      <c r="K64" s="31">
        <v>5.548719859482528</v>
      </c>
      <c r="L64" s="31">
        <v>5.2414983372396398</v>
      </c>
      <c r="M64" s="31">
        <v>5.6746203013046337</v>
      </c>
      <c r="N64" s="31">
        <v>5.0947044685486214</v>
      </c>
      <c r="O64" s="31">
        <v>4.8275378979581145</v>
      </c>
      <c r="P64" s="31">
        <v>4.7498408510639942</v>
      </c>
      <c r="Q64" s="31">
        <v>4.5224205581601238</v>
      </c>
      <c r="R64" s="31">
        <v>4.274554802678268</v>
      </c>
      <c r="S64" s="31">
        <v>4.1219173638775795</v>
      </c>
      <c r="T64" s="31">
        <v>3.9751705965200701</v>
      </c>
      <c r="U64" s="31">
        <v>3.2975926499913957</v>
      </c>
      <c r="V64" s="31">
        <v>3.3051374975220069</v>
      </c>
      <c r="W64" s="31">
        <v>3.1513299808950479</v>
      </c>
      <c r="X64" s="31">
        <v>3.0255398390475245</v>
      </c>
      <c r="Y64" s="31">
        <v>3.0821446917064867</v>
      </c>
      <c r="Z64" s="31">
        <v>2.9703541975549381</v>
      </c>
      <c r="AA64" s="31">
        <v>2.9748521632999587</v>
      </c>
      <c r="AB64" s="31">
        <v>3.0403602409615367</v>
      </c>
      <c r="AC64" s="31">
        <v>3.2257093328985631</v>
      </c>
      <c r="AD64" s="31">
        <v>2.867227263634641</v>
      </c>
      <c r="AE64" s="31">
        <v>2.7179876684821291</v>
      </c>
      <c r="AF64" s="31">
        <v>2.1138009187502638</v>
      </c>
      <c r="AG64" s="31">
        <v>2.3369848396260631</v>
      </c>
      <c r="AH64" s="31">
        <v>2.3538730675865085</v>
      </c>
      <c r="AI64" s="101">
        <v>2.0913388567149531</v>
      </c>
      <c r="AJ64" s="101">
        <v>2.0228605314575074</v>
      </c>
      <c r="AK64" s="101">
        <v>1.952455783263511</v>
      </c>
      <c r="AL64" s="101">
        <v>1.9433682247507724</v>
      </c>
      <c r="AM64" s="101">
        <v>1.9159607148846642</v>
      </c>
      <c r="AN64" s="101">
        <v>1.9007613631534672</v>
      </c>
      <c r="AO64" s="101">
        <v>1.8775728197681083</v>
      </c>
      <c r="AP64" s="101">
        <v>1.8623005422719945</v>
      </c>
      <c r="AQ64" s="101">
        <v>1.8312791968006938</v>
      </c>
      <c r="AR64" s="101">
        <v>1.8088018192115236</v>
      </c>
    </row>
    <row r="65" spans="1:44">
      <c r="A65" s="568" t="s">
        <v>180</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101"/>
      <c r="AJ65" s="101"/>
      <c r="AK65" s="101"/>
      <c r="AL65" s="101"/>
      <c r="AM65" s="101"/>
      <c r="AN65" s="101"/>
      <c r="AO65" s="101"/>
      <c r="AP65" s="101"/>
      <c r="AQ65" s="101"/>
      <c r="AR65" s="101"/>
    </row>
    <row r="66" spans="1:44">
      <c r="A66" s="40" t="s">
        <v>51</v>
      </c>
      <c r="B66" s="144">
        <v>140.20426488930769</v>
      </c>
      <c r="C66" s="144">
        <v>152.47294139622102</v>
      </c>
      <c r="D66" s="144">
        <v>139.94124471237242</v>
      </c>
      <c r="E66" s="144">
        <v>134.37851978834348</v>
      </c>
      <c r="F66" s="144">
        <v>135.3062253924266</v>
      </c>
      <c r="G66" s="144">
        <v>135.97676479990071</v>
      </c>
      <c r="H66" s="144">
        <v>138.05850650689146</v>
      </c>
      <c r="I66" s="144">
        <v>136.87443208220526</v>
      </c>
      <c r="J66" s="144">
        <v>130.83866816314773</v>
      </c>
      <c r="K66" s="144">
        <v>128.08056155405319</v>
      </c>
      <c r="L66" s="144">
        <v>124.85793820141475</v>
      </c>
      <c r="M66" s="144">
        <v>127.86747086084016</v>
      </c>
      <c r="N66" s="144">
        <v>123.93209741581964</v>
      </c>
      <c r="O66" s="144">
        <v>122.51525711359294</v>
      </c>
      <c r="P66" s="144">
        <v>117.33346794432536</v>
      </c>
      <c r="Q66" s="144">
        <v>117.99366637977904</v>
      </c>
      <c r="R66" s="144">
        <v>117.16560623737664</v>
      </c>
      <c r="S66" s="144">
        <v>115.90314478266777</v>
      </c>
      <c r="T66" s="144">
        <v>108.68578633204564</v>
      </c>
      <c r="U66" s="144">
        <v>89.604584427906573</v>
      </c>
      <c r="V66" s="144">
        <v>95.461415712557994</v>
      </c>
      <c r="W66" s="144">
        <v>91.432478503938867</v>
      </c>
      <c r="X66" s="144">
        <v>88.05760857563169</v>
      </c>
      <c r="Y66" s="144">
        <v>89.306004390893179</v>
      </c>
      <c r="Z66" s="144">
        <v>86.293782908441543</v>
      </c>
      <c r="AA66" s="144">
        <v>83.720900714815514</v>
      </c>
      <c r="AB66" s="144">
        <v>83.519882085194496</v>
      </c>
      <c r="AC66" s="144">
        <v>83.185691206475695</v>
      </c>
      <c r="AD66" s="144">
        <v>81.683737955455896</v>
      </c>
      <c r="AE66" s="144">
        <v>78.99094903199699</v>
      </c>
      <c r="AF66" s="144">
        <v>70.283794167002739</v>
      </c>
      <c r="AG66" s="144">
        <v>77.230054879266447</v>
      </c>
      <c r="AH66" s="144">
        <v>70.993823202080051</v>
      </c>
      <c r="AI66" s="145">
        <f t="shared" ref="AI66:AQ66" si="24">AI42+AI46+AI48+AI50+AI53+AI55+AI58+AI62+AI64+AI45+AI47+AI49+AI51+AI54+AI56+AI59+AI63+AI65</f>
        <v>67.721791357420727</v>
      </c>
      <c r="AJ66" s="145">
        <f t="shared" si="24"/>
        <v>67.766557056496708</v>
      </c>
      <c r="AK66" s="145">
        <f t="shared" si="24"/>
        <v>63.727550054520833</v>
      </c>
      <c r="AL66" s="145">
        <f t="shared" si="24"/>
        <v>61.156223194127314</v>
      </c>
      <c r="AM66" s="145">
        <f t="shared" si="24"/>
        <v>60.514943214657229</v>
      </c>
      <c r="AN66" s="145">
        <f t="shared" si="24"/>
        <v>60.059078506370341</v>
      </c>
      <c r="AO66" s="145">
        <f t="shared" si="24"/>
        <v>59.614822602418805</v>
      </c>
      <c r="AP66" s="145">
        <f t="shared" si="24"/>
        <v>59.317762658317143</v>
      </c>
      <c r="AQ66" s="145">
        <f t="shared" si="24"/>
        <v>58.413374147362177</v>
      </c>
      <c r="AR66" s="145">
        <f>AR42+AR46+AR48+AR50+AR53+AR55+AR58+AR62+AR64+AR45+AR47+AR49+AR51+AR54+AR56+AR59+AR63+AR65</f>
        <v>62.073011388944394</v>
      </c>
    </row>
    <row r="67" spans="1:44" ht="15">
      <c r="A67" s="41"/>
      <c r="B67" s="35"/>
      <c r="C67" s="35"/>
      <c r="D67" s="35"/>
      <c r="E67" s="35"/>
      <c r="F67" s="35"/>
      <c r="G67" s="35"/>
      <c r="H67" s="35"/>
      <c r="I67" s="35"/>
      <c r="J67" s="35"/>
      <c r="K67" s="10"/>
      <c r="L67" s="10"/>
      <c r="M67" s="10"/>
      <c r="N67" s="10"/>
      <c r="O67" s="10"/>
      <c r="P67" s="10"/>
      <c r="Q67" s="10"/>
      <c r="R67" s="10"/>
      <c r="S67" s="10"/>
      <c r="T67" s="10"/>
      <c r="U67" s="10"/>
      <c r="V67" s="10"/>
      <c r="W67" s="10"/>
      <c r="X67" s="10"/>
      <c r="Y67" s="10"/>
      <c r="Z67" s="10"/>
      <c r="AA67" s="10"/>
      <c r="AB67" s="10"/>
      <c r="AC67" s="10"/>
      <c r="AD67" s="10"/>
      <c r="AE67" s="10"/>
      <c r="AF67" s="10"/>
      <c r="AG67" s="10"/>
      <c r="AH67" s="10"/>
    </row>
    <row r="68" spans="1:44">
      <c r="A68" s="42" t="s">
        <v>37</v>
      </c>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683" t="s">
        <v>117</v>
      </c>
      <c r="AJ68" s="683"/>
      <c r="AK68" s="683"/>
      <c r="AL68" s="683"/>
      <c r="AM68" s="683"/>
      <c r="AN68" s="683"/>
      <c r="AO68" s="683"/>
      <c r="AP68" s="683"/>
      <c r="AQ68" s="683"/>
      <c r="AR68" s="683"/>
    </row>
    <row r="69" spans="1:44" ht="26.4">
      <c r="A69" s="15" t="s">
        <v>34</v>
      </c>
      <c r="B69" s="16">
        <v>1990</v>
      </c>
      <c r="C69" s="16">
        <v>1991</v>
      </c>
      <c r="D69" s="16">
        <v>1992</v>
      </c>
      <c r="E69" s="16">
        <v>1993</v>
      </c>
      <c r="F69" s="16">
        <v>1994</v>
      </c>
      <c r="G69" s="16">
        <v>1995</v>
      </c>
      <c r="H69" s="16">
        <v>1996</v>
      </c>
      <c r="I69" s="16">
        <v>1997</v>
      </c>
      <c r="J69" s="16">
        <v>1998</v>
      </c>
      <c r="K69" s="16">
        <v>1999</v>
      </c>
      <c r="L69" s="16">
        <v>2000</v>
      </c>
      <c r="M69" s="16">
        <v>2001</v>
      </c>
      <c r="N69" s="16">
        <v>2002</v>
      </c>
      <c r="O69" s="16">
        <v>2003</v>
      </c>
      <c r="P69" s="16">
        <v>2004</v>
      </c>
      <c r="Q69" s="16">
        <v>2005</v>
      </c>
      <c r="R69" s="16">
        <v>2006</v>
      </c>
      <c r="S69" s="16">
        <v>2007</v>
      </c>
      <c r="T69" s="16">
        <v>2008</v>
      </c>
      <c r="U69" s="16">
        <v>2009</v>
      </c>
      <c r="V69" s="16">
        <v>2010</v>
      </c>
      <c r="W69" s="16">
        <v>2011</v>
      </c>
      <c r="X69" s="16">
        <v>2012</v>
      </c>
      <c r="Y69" s="16">
        <v>2013</v>
      </c>
      <c r="Z69" s="16">
        <v>2014</v>
      </c>
      <c r="AA69" s="16">
        <v>2015</v>
      </c>
      <c r="AB69" s="16">
        <v>2016</v>
      </c>
      <c r="AC69" s="16">
        <v>2017</v>
      </c>
      <c r="AD69" s="16">
        <v>2018</v>
      </c>
      <c r="AE69" s="16">
        <v>2019</v>
      </c>
      <c r="AF69" s="16">
        <v>2020</v>
      </c>
      <c r="AG69" s="17">
        <v>2021</v>
      </c>
      <c r="AH69" s="17">
        <v>2022</v>
      </c>
      <c r="AI69" s="16">
        <v>2023</v>
      </c>
      <c r="AJ69" s="86">
        <v>2025</v>
      </c>
      <c r="AK69" s="16">
        <v>2028</v>
      </c>
      <c r="AL69" s="86">
        <v>2030</v>
      </c>
      <c r="AM69" s="86">
        <v>2033</v>
      </c>
      <c r="AN69" s="16">
        <v>2035</v>
      </c>
      <c r="AO69" s="86">
        <v>2038</v>
      </c>
      <c r="AP69" s="16">
        <v>2040</v>
      </c>
      <c r="AQ69" s="16">
        <v>2045</v>
      </c>
      <c r="AR69" s="16">
        <v>2050</v>
      </c>
    </row>
    <row r="70" spans="1:44">
      <c r="A70" s="39" t="s">
        <v>20</v>
      </c>
      <c r="B70" s="31">
        <v>12.456607562629022</v>
      </c>
      <c r="C70" s="31">
        <v>13.111601136133784</v>
      </c>
      <c r="D70" s="31">
        <v>13.835898249653997</v>
      </c>
      <c r="E70" s="31">
        <v>14.581609763617646</v>
      </c>
      <c r="F70" s="31">
        <v>14.854865381903924</v>
      </c>
      <c r="G70" s="31">
        <v>15.062939010716519</v>
      </c>
      <c r="H70" s="31">
        <v>15.178872216527395</v>
      </c>
      <c r="I70" s="31">
        <v>15.345525295432166</v>
      </c>
      <c r="J70" s="31">
        <v>15.856724653831655</v>
      </c>
      <c r="K70" s="31">
        <v>16.10063154986338</v>
      </c>
      <c r="L70" s="31">
        <v>16.375875902680082</v>
      </c>
      <c r="M70" s="31">
        <v>16.662694368195368</v>
      </c>
      <c r="N70" s="31">
        <v>16.93311183724451</v>
      </c>
      <c r="O70" s="31">
        <v>17.070208062727371</v>
      </c>
      <c r="P70" s="31">
        <v>17.015376090942425</v>
      </c>
      <c r="Q70" s="31">
        <v>16.799458947354623</v>
      </c>
      <c r="R70" s="31">
        <v>16.689852070790099</v>
      </c>
      <c r="S70" s="31">
        <v>16.715187955131483</v>
      </c>
      <c r="T70" s="31">
        <v>16.675748460629602</v>
      </c>
      <c r="U70" s="31">
        <v>15.996572158290038</v>
      </c>
      <c r="V70" s="31">
        <v>15.951932287698769</v>
      </c>
      <c r="W70" s="31">
        <v>14.889007489150456</v>
      </c>
      <c r="X70" s="31">
        <v>14.538163670216147</v>
      </c>
      <c r="Y70" s="31">
        <v>12.899791223212153</v>
      </c>
      <c r="Z70" s="31">
        <v>11.951856574390371</v>
      </c>
      <c r="AA70" s="31">
        <v>11.185557806167477</v>
      </c>
      <c r="AB70" s="31">
        <v>11.276186381671893</v>
      </c>
      <c r="AC70" s="31">
        <v>11.392769628905347</v>
      </c>
      <c r="AD70" s="31">
        <v>11.115716281932121</v>
      </c>
      <c r="AE70" s="31">
        <v>11.719712351280807</v>
      </c>
      <c r="AF70" s="31">
        <v>11.732094848760404</v>
      </c>
      <c r="AG70" s="31">
        <v>11.034878655320496</v>
      </c>
      <c r="AH70" s="31">
        <v>11.383879292052926</v>
      </c>
      <c r="AI70" s="97">
        <v>11.22939035261429</v>
      </c>
      <c r="AJ70" s="97">
        <v>10.831889450101503</v>
      </c>
      <c r="AK70" s="97">
        <v>10.132481229746171</v>
      </c>
      <c r="AL70" s="97">
        <v>9.1840738242297046</v>
      </c>
      <c r="AM70" s="97">
        <v>8.2820104958755767</v>
      </c>
      <c r="AN70" s="97">
        <v>7.762954007189431</v>
      </c>
      <c r="AO70" s="97">
        <v>7.0732187441035741</v>
      </c>
      <c r="AP70" s="97">
        <v>6.6595894883758273</v>
      </c>
      <c r="AQ70" s="128">
        <v>5.7454553858429538</v>
      </c>
      <c r="AR70" s="128">
        <v>4.9590318866156045</v>
      </c>
    </row>
    <row r="71" spans="1:44">
      <c r="A71" s="39" t="s">
        <v>10</v>
      </c>
      <c r="B71" s="31">
        <v>2.0615099111468691</v>
      </c>
      <c r="C71" s="31">
        <v>2.0442040834343169</v>
      </c>
      <c r="D71" s="31">
        <v>2.0714619060189046</v>
      </c>
      <c r="E71" s="31">
        <v>2.0551997562178048</v>
      </c>
      <c r="F71" s="31">
        <v>2.0896184824077033</v>
      </c>
      <c r="G71" s="31">
        <v>2.0345353436763474</v>
      </c>
      <c r="H71" s="31">
        <v>1.895872104548264</v>
      </c>
      <c r="I71" s="31">
        <v>1.6680747140217942</v>
      </c>
      <c r="J71" s="31">
        <v>1.5170207543530176</v>
      </c>
      <c r="K71" s="31">
        <v>1.4075184015577198</v>
      </c>
      <c r="L71" s="31">
        <v>1.4768866736534936</v>
      </c>
      <c r="M71" s="31">
        <v>1.4020995904221725</v>
      </c>
      <c r="N71" s="31">
        <v>1.3894972824317224</v>
      </c>
      <c r="O71" s="31">
        <v>1.4016688536327033</v>
      </c>
      <c r="P71" s="31">
        <v>1.3167560134217042</v>
      </c>
      <c r="Q71" s="31">
        <v>1.3815967378295384</v>
      </c>
      <c r="R71" s="31">
        <v>1.4366610771449302</v>
      </c>
      <c r="S71" s="31">
        <v>1.3367100441443129</v>
      </c>
      <c r="T71" s="31">
        <v>1.3613766866722039</v>
      </c>
      <c r="U71" s="31">
        <v>1.3515344598896899</v>
      </c>
      <c r="V71" s="31">
        <v>1.4197665627507587</v>
      </c>
      <c r="W71" s="31">
        <v>1.4686581284278957</v>
      </c>
      <c r="X71" s="31">
        <v>1.3895751263020857</v>
      </c>
      <c r="Y71" s="31">
        <v>1.3570780615756846</v>
      </c>
      <c r="Z71" s="31">
        <v>1.589763199228748</v>
      </c>
      <c r="AA71" s="31">
        <v>1.3717863236811494</v>
      </c>
      <c r="AB71" s="31">
        <v>1.3484505497970365</v>
      </c>
      <c r="AC71" s="31">
        <v>1.2843330635429038</v>
      </c>
      <c r="AD71" s="31">
        <v>1.2278684933594541</v>
      </c>
      <c r="AE71" s="31">
        <v>1.5802824075657904</v>
      </c>
      <c r="AF71" s="31">
        <v>1.5617528085935699</v>
      </c>
      <c r="AG71" s="31">
        <v>1.7400191366980375</v>
      </c>
      <c r="AH71" s="31">
        <v>1.5095268475036865</v>
      </c>
      <c r="AI71" s="97">
        <v>1.4461922119366333</v>
      </c>
      <c r="AJ71" s="97">
        <v>1.4713884992101489</v>
      </c>
      <c r="AK71" s="97">
        <v>1.4976393983014182</v>
      </c>
      <c r="AL71" s="97">
        <v>1.5261651261516327</v>
      </c>
      <c r="AM71" s="97">
        <v>1.554798618368739</v>
      </c>
      <c r="AN71" s="97">
        <v>1.5738767540983662</v>
      </c>
      <c r="AO71" s="97">
        <v>1.6023265041392034</v>
      </c>
      <c r="AP71" s="97">
        <v>1.6212441382984326</v>
      </c>
      <c r="AQ71" s="128">
        <v>1.6902596205610909</v>
      </c>
      <c r="AR71" s="128">
        <v>1.7477514411674686</v>
      </c>
    </row>
    <row r="72" spans="1:44">
      <c r="A72" s="39" t="s">
        <v>11</v>
      </c>
      <c r="B72" s="31">
        <v>0.13923342777136355</v>
      </c>
      <c r="C72" s="31">
        <v>0.14302835905671266</v>
      </c>
      <c r="D72" s="31">
        <v>0.14691190240736599</v>
      </c>
      <c r="E72" s="31">
        <v>0.15088630052426164</v>
      </c>
      <c r="F72" s="31">
        <v>0.17100389863306992</v>
      </c>
      <c r="G72" s="31">
        <v>0.19131279761501169</v>
      </c>
      <c r="H72" s="31">
        <v>0.21468386052349037</v>
      </c>
      <c r="I72" s="31">
        <v>0.22089415681366328</v>
      </c>
      <c r="J72" s="31">
        <v>0.25019114586335378</v>
      </c>
      <c r="K72" s="31">
        <v>0.3385572425442897</v>
      </c>
      <c r="L72" s="31">
        <v>0.37676270022928759</v>
      </c>
      <c r="M72" s="31">
        <v>0.39543517983939896</v>
      </c>
      <c r="N72" s="31">
        <v>0.41430730434984481</v>
      </c>
      <c r="O72" s="31">
        <v>0.44607508513006189</v>
      </c>
      <c r="P72" s="31">
        <v>0.47842480490530465</v>
      </c>
      <c r="Q72" s="31">
        <v>0.50534979388942081</v>
      </c>
      <c r="R72" s="31">
        <v>0.53089791545864851</v>
      </c>
      <c r="S72" s="31">
        <v>0.54395607046898864</v>
      </c>
      <c r="T72" s="31">
        <v>0.55648405379512178</v>
      </c>
      <c r="U72" s="31">
        <v>0.57805076702992275</v>
      </c>
      <c r="V72" s="31">
        <v>0.59679478039040523</v>
      </c>
      <c r="W72" s="31">
        <v>0.71827497885011793</v>
      </c>
      <c r="X72" s="31">
        <v>0.83988970409036168</v>
      </c>
      <c r="Y72" s="31">
        <v>0.87734632099919119</v>
      </c>
      <c r="Z72" s="31">
        <v>0.91494065164442551</v>
      </c>
      <c r="AA72" s="31">
        <v>0.93193034945347275</v>
      </c>
      <c r="AB72" s="31">
        <v>0.94884172472475492</v>
      </c>
      <c r="AC72" s="31">
        <v>0.98387521960489543</v>
      </c>
      <c r="AD72" s="31">
        <v>1.0164201726928443</v>
      </c>
      <c r="AE72" s="31">
        <v>0.97292871898444833</v>
      </c>
      <c r="AF72" s="31">
        <v>0.92197895768681115</v>
      </c>
      <c r="AG72" s="31">
        <v>0.9221848428750703</v>
      </c>
      <c r="AH72" s="31">
        <v>0.92217546086000346</v>
      </c>
      <c r="AI72" s="97">
        <v>0.9449408232501969</v>
      </c>
      <c r="AJ72" s="97">
        <v>0.99049493202505223</v>
      </c>
      <c r="AK72" s="97">
        <v>1.0588122983771957</v>
      </c>
      <c r="AL72" s="97">
        <v>1.1043542490499219</v>
      </c>
      <c r="AM72" s="97">
        <v>1.1058828606965869</v>
      </c>
      <c r="AN72" s="97">
        <v>1.1069163454012714</v>
      </c>
      <c r="AO72" s="97">
        <v>1.1084561829402766</v>
      </c>
      <c r="AP72" s="97">
        <v>1.1094814764384371</v>
      </c>
      <c r="AQ72" s="128">
        <v>1.1120225486866597</v>
      </c>
      <c r="AR72" s="128">
        <v>1.1145390473153105</v>
      </c>
    </row>
    <row r="73" spans="1:44">
      <c r="A73" s="39" t="s">
        <v>12</v>
      </c>
      <c r="B73" s="31">
        <v>0.83364026229202726</v>
      </c>
      <c r="C73" s="31">
        <v>0.859551438990801</v>
      </c>
      <c r="D73" s="31">
        <v>0.84840876079004057</v>
      </c>
      <c r="E73" s="31">
        <v>0.8482721002433421</v>
      </c>
      <c r="F73" s="31">
        <v>0.84692736214561348</v>
      </c>
      <c r="G73" s="31">
        <v>0.8682719202676159</v>
      </c>
      <c r="H73" s="31">
        <v>0.87372078832508859</v>
      </c>
      <c r="I73" s="31">
        <v>0.88013926828416966</v>
      </c>
      <c r="J73" s="31">
        <v>0.8874901163487986</v>
      </c>
      <c r="K73" s="31">
        <v>0.87976700499941907</v>
      </c>
      <c r="L73" s="31">
        <v>0.88127593214112676</v>
      </c>
      <c r="M73" s="31">
        <v>0.86408390065716323</v>
      </c>
      <c r="N73" s="31">
        <v>0.84249064537029272</v>
      </c>
      <c r="O73" s="31">
        <v>0.81476797900749198</v>
      </c>
      <c r="P73" s="31">
        <v>0.77986361495388568</v>
      </c>
      <c r="Q73" s="31">
        <v>0.74281733981027009</v>
      </c>
      <c r="R73" s="31">
        <v>0.73046335258190354</v>
      </c>
      <c r="S73" s="31">
        <v>0.64226749579513398</v>
      </c>
      <c r="T73" s="31">
        <v>0.64185170181598461</v>
      </c>
      <c r="U73" s="31">
        <v>0.64119771756402133</v>
      </c>
      <c r="V73" s="31">
        <v>0.64378648266124971</v>
      </c>
      <c r="W73" s="31">
        <v>0.64410134487299386</v>
      </c>
      <c r="X73" s="31">
        <v>0.60642929967585046</v>
      </c>
      <c r="Y73" s="31">
        <v>0.55983377767557196</v>
      </c>
      <c r="Z73" s="31">
        <v>0.56276091729734745</v>
      </c>
      <c r="AA73" s="31">
        <v>0.54525931545322803</v>
      </c>
      <c r="AB73" s="31">
        <v>0.56546952591005395</v>
      </c>
      <c r="AC73" s="31">
        <v>0.56059903910350195</v>
      </c>
      <c r="AD73" s="31">
        <v>0.59623299830296517</v>
      </c>
      <c r="AE73" s="31">
        <v>0.58502240935438554</v>
      </c>
      <c r="AF73" s="31">
        <v>0.58011336087815768</v>
      </c>
      <c r="AG73" s="31">
        <v>0.59105405865726035</v>
      </c>
      <c r="AH73" s="31">
        <v>0.59053678852044178</v>
      </c>
      <c r="AI73" s="97">
        <v>0.58959360373066805</v>
      </c>
      <c r="AJ73" s="97">
        <v>0.58762215011013641</v>
      </c>
      <c r="AK73" s="97">
        <v>0.58439362785743543</v>
      </c>
      <c r="AL73" s="97">
        <v>0.58205919486696422</v>
      </c>
      <c r="AM73" s="97">
        <v>0.57817474409988323</v>
      </c>
      <c r="AN73" s="97">
        <v>0.57534121340843325</v>
      </c>
      <c r="AO73" s="97">
        <v>0.57055343770814881</v>
      </c>
      <c r="AP73" s="97">
        <v>0.56688899449006769</v>
      </c>
      <c r="AQ73" s="128">
        <v>0.55658057477724265</v>
      </c>
      <c r="AR73" s="128">
        <v>0.53906650050121419</v>
      </c>
    </row>
    <row r="74" spans="1:44">
      <c r="A74" s="44" t="s">
        <v>52</v>
      </c>
      <c r="B74" s="45">
        <v>15.490991163839283</v>
      </c>
      <c r="C74" s="45">
        <v>16.158385017615615</v>
      </c>
      <c r="D74" s="45">
        <v>16.902680818870309</v>
      </c>
      <c r="E74" s="45">
        <v>17.635967920603058</v>
      </c>
      <c r="F74" s="45">
        <v>17.962415125090313</v>
      </c>
      <c r="G74" s="45">
        <v>18.157059072275494</v>
      </c>
      <c r="H74" s="45">
        <v>18.163148969924237</v>
      </c>
      <c r="I74" s="45">
        <v>18.114633434551791</v>
      </c>
      <c r="J74" s="45">
        <v>18.511426670396823</v>
      </c>
      <c r="K74" s="45">
        <v>18.726474198964809</v>
      </c>
      <c r="L74" s="45">
        <v>19.11080120870399</v>
      </c>
      <c r="M74" s="45">
        <v>19.324313039114102</v>
      </c>
      <c r="N74" s="45">
        <v>19.579407069396371</v>
      </c>
      <c r="O74" s="45">
        <v>19.732719980497627</v>
      </c>
      <c r="P74" s="45">
        <v>19.590420524223319</v>
      </c>
      <c r="Q74" s="45">
        <v>19.429222818883854</v>
      </c>
      <c r="R74" s="45">
        <v>19.387874415975581</v>
      </c>
      <c r="S74" s="45">
        <v>19.23812156553992</v>
      </c>
      <c r="T74" s="45">
        <v>19.235460902912912</v>
      </c>
      <c r="U74" s="45">
        <v>18.567355102773671</v>
      </c>
      <c r="V74" s="45">
        <v>18.612280113501178</v>
      </c>
      <c r="W74" s="45">
        <v>17.720041941301464</v>
      </c>
      <c r="X74" s="45">
        <v>17.374057800284444</v>
      </c>
      <c r="Y74" s="45">
        <v>15.6940493834626</v>
      </c>
      <c r="Z74" s="45">
        <v>15.019321342560893</v>
      </c>
      <c r="AA74" s="45">
        <v>14.034533794755328</v>
      </c>
      <c r="AB74" s="45">
        <v>14.138948182103737</v>
      </c>
      <c r="AC74" s="45">
        <v>14.221576951156649</v>
      </c>
      <c r="AD74" s="45">
        <v>13.956237946287384</v>
      </c>
      <c r="AE74" s="45">
        <v>14.857945887185432</v>
      </c>
      <c r="AF74" s="45">
        <v>14.795939975918943</v>
      </c>
      <c r="AG74" s="45">
        <v>14.288136693550864</v>
      </c>
      <c r="AH74" s="45">
        <v>14.406118388937058</v>
      </c>
      <c r="AI74" s="84">
        <v>14.210116991531789</v>
      </c>
      <c r="AJ74" s="84">
        <v>13.881395031446843</v>
      </c>
      <c r="AK74" s="84">
        <v>13.273326554282221</v>
      </c>
      <c r="AL74" s="84">
        <v>12.396652394298222</v>
      </c>
      <c r="AM74" s="84">
        <v>11.520866719040786</v>
      </c>
      <c r="AN74" s="84">
        <v>11.019088320097502</v>
      </c>
      <c r="AO74" s="84">
        <v>10.354554868891203</v>
      </c>
      <c r="AP74" s="84">
        <v>9.9572040976027658</v>
      </c>
      <c r="AQ74" s="84">
        <v>9.1043181298679468</v>
      </c>
      <c r="AR74" s="84">
        <v>8.3603888755995985</v>
      </c>
    </row>
    <row r="75" spans="1:44" ht="15">
      <c r="A75" s="34"/>
      <c r="B75" s="35"/>
      <c r="C75" s="35"/>
      <c r="D75" s="35"/>
      <c r="E75" s="35"/>
      <c r="F75" s="35"/>
      <c r="G75" s="35"/>
      <c r="H75" s="35"/>
      <c r="I75" s="35"/>
      <c r="J75" s="35"/>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44">
      <c r="A76" s="46" t="s">
        <v>38</v>
      </c>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684" t="s">
        <v>117</v>
      </c>
      <c r="AJ76" s="684"/>
      <c r="AK76" s="684"/>
      <c r="AL76" s="684"/>
      <c r="AM76" s="684"/>
      <c r="AN76" s="684"/>
      <c r="AO76" s="684"/>
      <c r="AP76" s="684"/>
      <c r="AQ76" s="684"/>
      <c r="AR76" s="684"/>
    </row>
    <row r="77" spans="1:44" ht="26.4">
      <c r="A77" s="15" t="s">
        <v>34</v>
      </c>
      <c r="B77" s="16">
        <v>1990</v>
      </c>
      <c r="C77" s="16">
        <v>1991</v>
      </c>
      <c r="D77" s="16">
        <v>1992</v>
      </c>
      <c r="E77" s="16">
        <v>1993</v>
      </c>
      <c r="F77" s="16">
        <v>1994</v>
      </c>
      <c r="G77" s="16">
        <v>1995</v>
      </c>
      <c r="H77" s="16">
        <v>1996</v>
      </c>
      <c r="I77" s="16">
        <v>1997</v>
      </c>
      <c r="J77" s="16">
        <v>1998</v>
      </c>
      <c r="K77" s="16">
        <v>1999</v>
      </c>
      <c r="L77" s="16">
        <v>2000</v>
      </c>
      <c r="M77" s="16">
        <v>2001</v>
      </c>
      <c r="N77" s="16">
        <v>2002</v>
      </c>
      <c r="O77" s="16">
        <v>2003</v>
      </c>
      <c r="P77" s="16">
        <v>2004</v>
      </c>
      <c r="Q77" s="16">
        <v>2005</v>
      </c>
      <c r="R77" s="16">
        <v>2006</v>
      </c>
      <c r="S77" s="16">
        <v>2007</v>
      </c>
      <c r="T77" s="16">
        <v>2008</v>
      </c>
      <c r="U77" s="16">
        <v>2009</v>
      </c>
      <c r="V77" s="16">
        <v>2010</v>
      </c>
      <c r="W77" s="16">
        <v>2011</v>
      </c>
      <c r="X77" s="16">
        <v>2012</v>
      </c>
      <c r="Y77" s="16">
        <v>2013</v>
      </c>
      <c r="Z77" s="16">
        <v>2014</v>
      </c>
      <c r="AA77" s="16">
        <v>2015</v>
      </c>
      <c r="AB77" s="16">
        <v>2016</v>
      </c>
      <c r="AC77" s="16">
        <v>2017</v>
      </c>
      <c r="AD77" s="16">
        <v>2018</v>
      </c>
      <c r="AE77" s="16">
        <v>2019</v>
      </c>
      <c r="AF77" s="16">
        <v>2020</v>
      </c>
      <c r="AG77" s="17">
        <v>2021</v>
      </c>
      <c r="AH77" s="17">
        <v>2022</v>
      </c>
      <c r="AI77" s="16">
        <v>2023</v>
      </c>
      <c r="AJ77" s="86">
        <v>2025</v>
      </c>
      <c r="AK77" s="16">
        <v>2028</v>
      </c>
      <c r="AL77" s="86">
        <v>2030</v>
      </c>
      <c r="AM77" s="86">
        <v>2033</v>
      </c>
      <c r="AN77" s="16">
        <v>2035</v>
      </c>
      <c r="AO77" s="86">
        <v>2038</v>
      </c>
      <c r="AP77" s="16">
        <v>2040</v>
      </c>
      <c r="AQ77" s="16">
        <v>2045</v>
      </c>
      <c r="AR77" s="16">
        <v>2050</v>
      </c>
    </row>
    <row r="78" spans="1:44">
      <c r="A78" s="30" t="s">
        <v>23</v>
      </c>
      <c r="B78" s="31">
        <v>59.183332098838846</v>
      </c>
      <c r="C78" s="31">
        <v>66.834444177547368</v>
      </c>
      <c r="D78" s="31">
        <v>65.645065539216148</v>
      </c>
      <c r="E78" s="31">
        <v>63.708183672238512</v>
      </c>
      <c r="F78" s="31">
        <v>59.726117094043026</v>
      </c>
      <c r="G78" s="31">
        <v>59.319350576816504</v>
      </c>
      <c r="H78" s="31">
        <v>65.624611953146925</v>
      </c>
      <c r="I78" s="31">
        <v>61.428696361056865</v>
      </c>
      <c r="J78" s="31">
        <v>63.730838432431085</v>
      </c>
      <c r="K78" s="31">
        <v>64.632129392838479</v>
      </c>
      <c r="L78" s="31">
        <v>62.439008113468375</v>
      </c>
      <c r="M78" s="31">
        <v>66.41237581541111</v>
      </c>
      <c r="N78" s="31">
        <v>63.641884314988587</v>
      </c>
      <c r="O78" s="31">
        <v>65.007549597946777</v>
      </c>
      <c r="P78" s="31">
        <v>68.755338815931026</v>
      </c>
      <c r="Q78" s="31">
        <v>67.817703629245742</v>
      </c>
      <c r="R78" s="31">
        <v>64.899459154203839</v>
      </c>
      <c r="S78" s="31">
        <v>57.147440307413724</v>
      </c>
      <c r="T78" s="31">
        <v>62.263086734298902</v>
      </c>
      <c r="U78" s="31">
        <v>62.255259636648063</v>
      </c>
      <c r="V78" s="31">
        <v>60.246161318402017</v>
      </c>
      <c r="W78" s="31">
        <v>51.94308379387801</v>
      </c>
      <c r="X78" s="31">
        <v>56.176740600069238</v>
      </c>
      <c r="Y78" s="31">
        <v>57.793514171779563</v>
      </c>
      <c r="Z78" s="31">
        <v>44.826328110007147</v>
      </c>
      <c r="AA78" s="31">
        <v>47.254669274979157</v>
      </c>
      <c r="AB78" s="31">
        <v>48.356577167815054</v>
      </c>
      <c r="AC78" s="31">
        <v>47.281183239914419</v>
      </c>
      <c r="AD78" s="31">
        <v>43.951866696547135</v>
      </c>
      <c r="AE78" s="31">
        <v>42.433957256924153</v>
      </c>
      <c r="AF78" s="31">
        <v>40.865305187570073</v>
      </c>
      <c r="AG78" s="31">
        <v>41.913117130740758</v>
      </c>
      <c r="AH78" s="31">
        <v>34.312350885526108</v>
      </c>
      <c r="AI78" s="100">
        <v>32.218088611833338</v>
      </c>
      <c r="AJ78" s="100">
        <v>28.592592034574945</v>
      </c>
      <c r="AK78" s="100">
        <v>25.092771210577304</v>
      </c>
      <c r="AL78" s="100">
        <v>22.779563894267337</v>
      </c>
      <c r="AM78" s="100">
        <v>20.807010487351651</v>
      </c>
      <c r="AN78" s="100">
        <v>19.439462704252378</v>
      </c>
      <c r="AO78" s="100">
        <v>18.350926907455978</v>
      </c>
      <c r="AP78" s="100">
        <v>17.62555670901725</v>
      </c>
      <c r="AQ78" s="100">
        <v>16.085259292458002</v>
      </c>
      <c r="AR78" s="100">
        <v>14.639156632101839</v>
      </c>
    </row>
    <row r="79" spans="1:44">
      <c r="A79" s="30" t="s">
        <v>22</v>
      </c>
      <c r="B79" s="31">
        <v>0</v>
      </c>
      <c r="C79" s="31">
        <v>0</v>
      </c>
      <c r="D79" s="31">
        <v>0</v>
      </c>
      <c r="E79" s="31">
        <v>0</v>
      </c>
      <c r="F79" s="31">
        <v>0</v>
      </c>
      <c r="G79" s="31">
        <v>0</v>
      </c>
      <c r="H79" s="31">
        <v>0</v>
      </c>
      <c r="I79" s="31">
        <v>0</v>
      </c>
      <c r="J79" s="31">
        <v>0</v>
      </c>
      <c r="K79" s="31">
        <v>0</v>
      </c>
      <c r="L79" s="31">
        <v>5.8562215210992356E-4</v>
      </c>
      <c r="M79" s="31">
        <v>2.2216105335586532E-3</v>
      </c>
      <c r="N79" s="31">
        <v>5.1887521267132567E-3</v>
      </c>
      <c r="O79" s="31">
        <v>4.4741993958515636E-2</v>
      </c>
      <c r="P79" s="31">
        <v>0.10797894039404672</v>
      </c>
      <c r="Q79" s="31">
        <v>0.15572492896118204</v>
      </c>
      <c r="R79" s="31">
        <v>0.22297045317541225</v>
      </c>
      <c r="S79" s="31">
        <v>0.29092946444523443</v>
      </c>
      <c r="T79" s="31">
        <v>0.35660612903984279</v>
      </c>
      <c r="U79" s="31">
        <v>0.42242663646875295</v>
      </c>
      <c r="V79" s="31">
        <v>0.47258444293459434</v>
      </c>
      <c r="W79" s="31">
        <v>0.53239202280644149</v>
      </c>
      <c r="X79" s="31">
        <v>0.5908197483618991</v>
      </c>
      <c r="Y79" s="31">
        <v>0.68172728212252565</v>
      </c>
      <c r="Z79" s="31">
        <v>0.78987157903972094</v>
      </c>
      <c r="AA79" s="31">
        <v>0.88121492699086945</v>
      </c>
      <c r="AB79" s="31">
        <v>0.96684108757059561</v>
      </c>
      <c r="AC79" s="31">
        <v>1.0367630416498748</v>
      </c>
      <c r="AD79" s="31">
        <v>1.1080185981394719</v>
      </c>
      <c r="AE79" s="31">
        <v>1.1383742046349976</v>
      </c>
      <c r="AF79" s="31">
        <v>1.1277158808516303</v>
      </c>
      <c r="AG79" s="31">
        <v>1.1106995884370772</v>
      </c>
      <c r="AH79" s="31">
        <v>1.141262528866819</v>
      </c>
      <c r="AI79" s="100">
        <v>1.1618280847235825</v>
      </c>
      <c r="AJ79" s="100">
        <v>1.1659703416024019</v>
      </c>
      <c r="AK79" s="100">
        <v>1.0483866276477267</v>
      </c>
      <c r="AL79" s="100">
        <v>0.9437083931268021</v>
      </c>
      <c r="AM79" s="100">
        <v>0.76732603572111124</v>
      </c>
      <c r="AN79" s="100">
        <v>0.6079362148082661</v>
      </c>
      <c r="AO79" s="100">
        <v>0.36464289627114455</v>
      </c>
      <c r="AP79" s="100">
        <v>0.22917035301983021</v>
      </c>
      <c r="AQ79" s="100">
        <v>6.1107316761720584E-2</v>
      </c>
      <c r="AR79" s="100">
        <v>1.5938790694968123E-2</v>
      </c>
    </row>
    <row r="80" spans="1:44">
      <c r="A80" s="30" t="s">
        <v>53</v>
      </c>
      <c r="B80" s="31">
        <v>0</v>
      </c>
      <c r="C80" s="31">
        <v>0</v>
      </c>
      <c r="D80" s="31">
        <v>0</v>
      </c>
      <c r="E80" s="31">
        <v>0</v>
      </c>
      <c r="F80" s="31">
        <v>3.0040638083332107E-5</v>
      </c>
      <c r="G80" s="31">
        <v>7.2574040659781789E-5</v>
      </c>
      <c r="H80" s="31">
        <v>1.1104333228456666E-4</v>
      </c>
      <c r="I80" s="31">
        <v>1.5101884505723458E-4</v>
      </c>
      <c r="J80" s="31">
        <v>1.8734722621059982E-4</v>
      </c>
      <c r="K80" s="31">
        <v>2.1956180150193333E-4</v>
      </c>
      <c r="L80" s="31">
        <v>2.5038540219978514E-4</v>
      </c>
      <c r="M80" s="31">
        <v>2.8080845407012987E-4</v>
      </c>
      <c r="N80" s="31">
        <v>3.0687927751544885E-4</v>
      </c>
      <c r="O80" s="31">
        <v>3.3340064331977552E-4</v>
      </c>
      <c r="P80" s="31">
        <v>2.2448931701852404E-2</v>
      </c>
      <c r="Q80" s="31">
        <v>5.9496209722578769E-2</v>
      </c>
      <c r="R80" s="31">
        <v>7.9574018545651395E-2</v>
      </c>
      <c r="S80" s="31">
        <v>8.2343774564246547E-2</v>
      </c>
      <c r="T80" s="31">
        <v>9.8886918574376273E-2</v>
      </c>
      <c r="U80" s="31">
        <v>0.11298446968942236</v>
      </c>
      <c r="V80" s="31">
        <v>0.16172303527062509</v>
      </c>
      <c r="W80" s="31">
        <v>0.15054619861008456</v>
      </c>
      <c r="X80" s="31">
        <v>0.16811094580941446</v>
      </c>
      <c r="Y80" s="31">
        <v>0.16155391224603236</v>
      </c>
      <c r="Z80" s="31">
        <v>0.16902412409561485</v>
      </c>
      <c r="AA80" s="31">
        <v>0.14549136664098553</v>
      </c>
      <c r="AB80" s="31">
        <v>0.14728240390772154</v>
      </c>
      <c r="AC80" s="31">
        <v>9.7634670414899413E-2</v>
      </c>
      <c r="AD80" s="31">
        <v>9.6440946146913981E-2</v>
      </c>
      <c r="AE80" s="31">
        <v>8.9878197714658187E-2</v>
      </c>
      <c r="AF80" s="31">
        <v>7.8265850461919653E-2</v>
      </c>
      <c r="AG80" s="31">
        <v>7.2023056237160391E-2</v>
      </c>
      <c r="AH80" s="31">
        <v>6.5973288305660613E-2</v>
      </c>
      <c r="AI80" s="100">
        <v>5.9690757050738334E-2</v>
      </c>
      <c r="AJ80" s="100">
        <v>5.6601098342020623E-2</v>
      </c>
      <c r="AK80" s="100">
        <v>4.5767831083904406E-2</v>
      </c>
      <c r="AL80" s="100">
        <v>3.2577564691991773E-2</v>
      </c>
      <c r="AM80" s="100">
        <v>9.8252435247958674E-3</v>
      </c>
      <c r="AN80" s="100">
        <v>2.2734586510005988E-3</v>
      </c>
      <c r="AO80" s="100">
        <v>0</v>
      </c>
      <c r="AP80" s="100">
        <v>0</v>
      </c>
      <c r="AQ80" s="100">
        <v>0</v>
      </c>
      <c r="AR80" s="100">
        <v>0</v>
      </c>
    </row>
    <row r="81" spans="1:44">
      <c r="A81" s="30" t="s">
        <v>54</v>
      </c>
      <c r="B81" s="31">
        <v>0.59494596561398716</v>
      </c>
      <c r="C81" s="31">
        <v>0.59634123394402927</v>
      </c>
      <c r="D81" s="31">
        <v>0.60051357788964799</v>
      </c>
      <c r="E81" s="31">
        <v>0.59463618103638893</v>
      </c>
      <c r="F81" s="31">
        <v>0.64048059588001327</v>
      </c>
      <c r="G81" s="31">
        <v>0.85785882294531413</v>
      </c>
      <c r="H81" s="31">
        <v>1.2380181921186555</v>
      </c>
      <c r="I81" s="31">
        <v>1.4144440550271309</v>
      </c>
      <c r="J81" s="31">
        <v>1.4989435252340977</v>
      </c>
      <c r="K81" s="31">
        <v>1.4411039496656319</v>
      </c>
      <c r="L81" s="31">
        <v>1.6215215741446638</v>
      </c>
      <c r="M81" s="31">
        <v>1.6080046356872413</v>
      </c>
      <c r="N81" s="31">
        <v>1.6163353983486575</v>
      </c>
      <c r="O81" s="31">
        <v>1.7502487498521577</v>
      </c>
      <c r="P81" s="31">
        <v>1.8538472051754709</v>
      </c>
      <c r="Q81" s="31">
        <v>1.8660967924450651</v>
      </c>
      <c r="R81" s="31">
        <v>1.9076040422883254</v>
      </c>
      <c r="S81" s="31">
        <v>2.0041616964443865</v>
      </c>
      <c r="T81" s="31">
        <v>1.9335698203718277</v>
      </c>
      <c r="U81" s="31">
        <v>1.5117664500266212</v>
      </c>
      <c r="V81" s="31">
        <v>1.589408147230871</v>
      </c>
      <c r="W81" s="31">
        <v>1.602008979398325</v>
      </c>
      <c r="X81" s="31">
        <v>1.4620598005457519</v>
      </c>
      <c r="Y81" s="31">
        <v>1.3811437443140995</v>
      </c>
      <c r="Z81" s="31">
        <v>1.4345869280085333</v>
      </c>
      <c r="AA81" s="31">
        <v>1.4428995071961888</v>
      </c>
      <c r="AB81" s="31">
        <v>1.467219517554369</v>
      </c>
      <c r="AC81" s="31">
        <v>1.4811497802217752</v>
      </c>
      <c r="AD81" s="31">
        <v>1.2305798727954254</v>
      </c>
      <c r="AE81" s="31">
        <v>0.92738170569066158</v>
      </c>
      <c r="AF81" s="31">
        <v>0.90532064918353972</v>
      </c>
      <c r="AG81" s="31">
        <v>0.89130083754846146</v>
      </c>
      <c r="AH81" s="31">
        <v>0.89540307178113798</v>
      </c>
      <c r="AI81" s="100">
        <v>0.88058186753646461</v>
      </c>
      <c r="AJ81" s="100">
        <v>0.87606510837377827</v>
      </c>
      <c r="AK81" s="100">
        <v>0.87649424693031763</v>
      </c>
      <c r="AL81" s="100">
        <v>0.86031551223849378</v>
      </c>
      <c r="AM81" s="100">
        <v>0.8437418270639484</v>
      </c>
      <c r="AN81" s="100">
        <v>0.8458792662098904</v>
      </c>
      <c r="AO81" s="100">
        <v>0.84582201732723339</v>
      </c>
      <c r="AP81" s="100">
        <v>0.8458629526735143</v>
      </c>
      <c r="AQ81" s="100">
        <v>0.84542296522626326</v>
      </c>
      <c r="AR81" s="100">
        <v>0.84282965048788694</v>
      </c>
    </row>
    <row r="82" spans="1:44">
      <c r="A82" s="30" t="s">
        <v>55</v>
      </c>
      <c r="B82" s="31">
        <v>0.30530262227526717</v>
      </c>
      <c r="C82" s="31">
        <v>0.30620276301898491</v>
      </c>
      <c r="D82" s="31">
        <v>0.30719528495613796</v>
      </c>
      <c r="E82" s="31">
        <v>0.30784070260407181</v>
      </c>
      <c r="F82" s="31">
        <v>0.30847721247586363</v>
      </c>
      <c r="G82" s="31">
        <v>0.30920054326283125</v>
      </c>
      <c r="H82" s="31">
        <v>0.30959801051084623</v>
      </c>
      <c r="I82" s="31">
        <v>0.30995746630412313</v>
      </c>
      <c r="J82" s="31">
        <v>0.31065468210934427</v>
      </c>
      <c r="K82" s="31">
        <v>0.31196878428298735</v>
      </c>
      <c r="L82" s="31">
        <v>0.31353585386482652</v>
      </c>
      <c r="M82" s="31">
        <v>0.31469760616112114</v>
      </c>
      <c r="N82" s="31">
        <v>0.31686476295503208</v>
      </c>
      <c r="O82" s="31">
        <v>0.31914970967660772</v>
      </c>
      <c r="P82" s="31">
        <v>0.32132314365028863</v>
      </c>
      <c r="Q82" s="31">
        <v>0.32220634175966489</v>
      </c>
      <c r="R82" s="31">
        <v>0.32297093039394426</v>
      </c>
      <c r="S82" s="31">
        <v>0.32079358331172791</v>
      </c>
      <c r="T82" s="31">
        <v>0.31602902847283071</v>
      </c>
      <c r="U82" s="31">
        <v>0.31816993770166441</v>
      </c>
      <c r="V82" s="31">
        <v>0.31921411197058847</v>
      </c>
      <c r="W82" s="31">
        <v>0.32011668140674676</v>
      </c>
      <c r="X82" s="31">
        <v>0.32009987508310733</v>
      </c>
      <c r="Y82" s="31">
        <v>0.32159105447319314</v>
      </c>
      <c r="Z82" s="31">
        <v>0.32212903675815008</v>
      </c>
      <c r="AA82" s="31">
        <v>0.32266044875696226</v>
      </c>
      <c r="AB82" s="31">
        <v>0.32230854963993688</v>
      </c>
      <c r="AC82" s="31">
        <v>0.32125042402199683</v>
      </c>
      <c r="AD82" s="31">
        <v>0.32128200292377201</v>
      </c>
      <c r="AE82" s="31">
        <v>0.32272906180655064</v>
      </c>
      <c r="AF82" s="31">
        <v>0.32280476730573199</v>
      </c>
      <c r="AG82" s="31">
        <v>0.32255354239065359</v>
      </c>
      <c r="AH82" s="31">
        <v>0.32253602967238987</v>
      </c>
      <c r="AI82" s="100">
        <v>0.31940308781295673</v>
      </c>
      <c r="AJ82" s="100">
        <v>0.25801843966622884</v>
      </c>
      <c r="AK82" s="100">
        <v>0.18081439957548803</v>
      </c>
      <c r="AL82" s="100">
        <v>0.12934503951499404</v>
      </c>
      <c r="AM82" s="100">
        <v>8.089915125024566E-2</v>
      </c>
      <c r="AN82" s="100">
        <v>4.8601892407080051E-2</v>
      </c>
      <c r="AO82" s="100">
        <v>3.8444460441130722E-2</v>
      </c>
      <c r="AP82" s="100">
        <v>3.1672839130497836E-2</v>
      </c>
      <c r="AQ82" s="100">
        <v>2.3028335168235766E-2</v>
      </c>
      <c r="AR82" s="100">
        <v>9.1206967514779469E-3</v>
      </c>
    </row>
    <row r="83" spans="1:44">
      <c r="A83" s="30" t="s">
        <v>56</v>
      </c>
      <c r="B83" s="31">
        <v>1.4034682653792205</v>
      </c>
      <c r="C83" s="31">
        <v>1.4699793769697607</v>
      </c>
      <c r="D83" s="31">
        <v>1.5309193557787475</v>
      </c>
      <c r="E83" s="31">
        <v>1.5934563356624547</v>
      </c>
      <c r="F83" s="31">
        <v>1.6553913627495902</v>
      </c>
      <c r="G83" s="31">
        <v>1.7219791069334913</v>
      </c>
      <c r="H83" s="31">
        <v>1.7836441765882736</v>
      </c>
      <c r="I83" s="31">
        <v>1.8467571992669818</v>
      </c>
      <c r="J83" s="31">
        <v>1.9116537574650434</v>
      </c>
      <c r="K83" s="31">
        <v>1.9184865079637974</v>
      </c>
      <c r="L83" s="31">
        <v>1.925685299820437</v>
      </c>
      <c r="M83" s="31">
        <v>1.9338286946636232</v>
      </c>
      <c r="N83" s="31">
        <v>1.9083312770195198</v>
      </c>
      <c r="O83" s="31">
        <v>1.8840762914723501</v>
      </c>
      <c r="P83" s="31">
        <v>1.8558046180332184</v>
      </c>
      <c r="Q83" s="31">
        <v>1.8685635976046382</v>
      </c>
      <c r="R83" s="31">
        <v>1.875814265508791</v>
      </c>
      <c r="S83" s="31">
        <v>1.8842264760435925</v>
      </c>
      <c r="T83" s="31">
        <v>1.8982698528674637</v>
      </c>
      <c r="U83" s="31">
        <v>1.9255996939532869</v>
      </c>
      <c r="V83" s="31">
        <v>1.9390299710803072</v>
      </c>
      <c r="W83" s="31">
        <v>1.9329251384689388</v>
      </c>
      <c r="X83" s="31">
        <v>1.9290751369609556</v>
      </c>
      <c r="Y83" s="31">
        <v>1.9249291054000766</v>
      </c>
      <c r="Z83" s="31">
        <v>1.8767847949951399</v>
      </c>
      <c r="AA83" s="31">
        <v>1.8588294202126239</v>
      </c>
      <c r="AB83" s="31">
        <v>1.8674628100081534</v>
      </c>
      <c r="AC83" s="31">
        <v>1.8787815122287921</v>
      </c>
      <c r="AD83" s="31">
        <v>1.9103978720460475</v>
      </c>
      <c r="AE83" s="31">
        <v>1.9282946291563665</v>
      </c>
      <c r="AF83" s="31">
        <v>1.8981924084749713</v>
      </c>
      <c r="AG83" s="31">
        <v>1.9091942230463925</v>
      </c>
      <c r="AH83" s="31">
        <v>1.8876866647092074</v>
      </c>
      <c r="AI83" s="100">
        <v>1.9057079518537015</v>
      </c>
      <c r="AJ83" s="100">
        <v>1.9418967516998877</v>
      </c>
      <c r="AK83" s="100">
        <v>1.9489411493355675</v>
      </c>
      <c r="AL83" s="100">
        <v>1.9531794431644141</v>
      </c>
      <c r="AM83" s="100">
        <v>1.9501756303326754</v>
      </c>
      <c r="AN83" s="100">
        <v>1.9540295662219755</v>
      </c>
      <c r="AO83" s="100">
        <v>1.9589559884779124</v>
      </c>
      <c r="AP83" s="100">
        <v>1.9612922396394628</v>
      </c>
      <c r="AQ83" s="100">
        <v>1.9640646397039299</v>
      </c>
      <c r="AR83" s="100">
        <v>1.9601482124148142</v>
      </c>
    </row>
    <row r="84" spans="1:44">
      <c r="A84" s="30" t="s">
        <v>57</v>
      </c>
      <c r="B84" s="31">
        <v>0</v>
      </c>
      <c r="C84" s="31">
        <v>0</v>
      </c>
      <c r="D84" s="31">
        <v>0</v>
      </c>
      <c r="E84" s="31">
        <v>0</v>
      </c>
      <c r="F84" s="31">
        <v>0</v>
      </c>
      <c r="G84" s="31">
        <v>0</v>
      </c>
      <c r="H84" s="31">
        <v>0</v>
      </c>
      <c r="I84" s="31">
        <v>0</v>
      </c>
      <c r="J84" s="31">
        <v>0</v>
      </c>
      <c r="K84" s="31">
        <v>0</v>
      </c>
      <c r="L84" s="31">
        <v>0</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1">
        <v>0</v>
      </c>
      <c r="AE84" s="31">
        <v>0</v>
      </c>
      <c r="AF84" s="31">
        <v>0</v>
      </c>
      <c r="AG84" s="31">
        <v>0</v>
      </c>
      <c r="AH84" s="31">
        <v>0</v>
      </c>
      <c r="AI84" s="100">
        <v>0</v>
      </c>
      <c r="AJ84" s="100">
        <v>0</v>
      </c>
      <c r="AK84" s="100">
        <v>0</v>
      </c>
      <c r="AL84" s="100">
        <v>0</v>
      </c>
      <c r="AM84" s="100">
        <v>0</v>
      </c>
      <c r="AN84" s="100">
        <v>0</v>
      </c>
      <c r="AO84" s="100">
        <v>0</v>
      </c>
      <c r="AP84" s="100">
        <v>0</v>
      </c>
      <c r="AQ84" s="100">
        <v>0</v>
      </c>
      <c r="AR84" s="100">
        <v>0</v>
      </c>
    </row>
    <row r="85" spans="1:44" ht="24">
      <c r="A85" s="48" t="s">
        <v>58</v>
      </c>
      <c r="B85" s="49">
        <v>61.487048952107322</v>
      </c>
      <c r="C85" s="49">
        <v>69.206967551480147</v>
      </c>
      <c r="D85" s="49">
        <v>68.083693757840678</v>
      </c>
      <c r="E85" s="49">
        <v>66.204116891541418</v>
      </c>
      <c r="F85" s="49">
        <v>62.330496305786575</v>
      </c>
      <c r="G85" s="49">
        <v>62.208461623998801</v>
      </c>
      <c r="H85" s="49">
        <v>68.955983375696974</v>
      </c>
      <c r="I85" s="49">
        <v>65.000006100500173</v>
      </c>
      <c r="J85" s="49">
        <v>67.452277744465789</v>
      </c>
      <c r="K85" s="49">
        <v>68.303908196552385</v>
      </c>
      <c r="L85" s="49">
        <v>66.300586848852603</v>
      </c>
      <c r="M85" s="49">
        <v>70.271409170910701</v>
      </c>
      <c r="N85" s="49">
        <v>67.488911384716019</v>
      </c>
      <c r="O85" s="49">
        <v>69.006099743549726</v>
      </c>
      <c r="P85" s="49">
        <v>72.916741654885911</v>
      </c>
      <c r="Q85" s="49">
        <v>72.089791499738865</v>
      </c>
      <c r="R85" s="49">
        <v>69.308392864115973</v>
      </c>
      <c r="S85" s="49">
        <v>61.729895302222907</v>
      </c>
      <c r="T85" s="49">
        <v>66.866448483625234</v>
      </c>
      <c r="U85" s="49">
        <v>66.546206824487811</v>
      </c>
      <c r="V85" s="49">
        <v>64.728121026888999</v>
      </c>
      <c r="W85" s="49">
        <v>56.481072814568549</v>
      </c>
      <c r="X85" s="49">
        <v>60.646906106830372</v>
      </c>
      <c r="Y85" s="49">
        <v>62.264459270335493</v>
      </c>
      <c r="Z85" s="49">
        <v>49.418724572904303</v>
      </c>
      <c r="AA85" s="49">
        <v>51.905764944776784</v>
      </c>
      <c r="AB85" s="49">
        <v>53.127691536495831</v>
      </c>
      <c r="AC85" s="49">
        <v>52.09676266845176</v>
      </c>
      <c r="AD85" s="49">
        <v>48.618585988598767</v>
      </c>
      <c r="AE85" s="49">
        <v>46.840615055927394</v>
      </c>
      <c r="AF85" s="49">
        <v>45.197604743847862</v>
      </c>
      <c r="AG85" s="49">
        <v>46.2188883784005</v>
      </c>
      <c r="AH85" s="49">
        <v>38.625212468861328</v>
      </c>
      <c r="AI85" s="83">
        <v>36.545300360810778</v>
      </c>
      <c r="AJ85" s="88">
        <v>32.89114377425927</v>
      </c>
      <c r="AK85" s="88">
        <v>29.193175465150308</v>
      </c>
      <c r="AL85" s="88">
        <v>26.698689847004033</v>
      </c>
      <c r="AM85" s="88">
        <v>24.458978375244428</v>
      </c>
      <c r="AN85" s="88">
        <v>22.898183102550593</v>
      </c>
      <c r="AO85" s="88">
        <v>21.558792269973402</v>
      </c>
      <c r="AP85" s="88">
        <v>20.693555093480555</v>
      </c>
      <c r="AQ85" s="88">
        <v>18.978882549318151</v>
      </c>
      <c r="AR85" s="88">
        <v>17.467193982450986</v>
      </c>
    </row>
    <row r="86" spans="1:44">
      <c r="A86" s="30" t="s">
        <v>59</v>
      </c>
      <c r="B86" s="31">
        <v>26.717089619134491</v>
      </c>
      <c r="C86" s="31">
        <v>29.009941218752065</v>
      </c>
      <c r="D86" s="31">
        <v>27.622014668578259</v>
      </c>
      <c r="E86" s="31">
        <v>26.333125834543463</v>
      </c>
      <c r="F86" s="31">
        <v>24.842709563394692</v>
      </c>
      <c r="G86" s="31">
        <v>25.101248198277204</v>
      </c>
      <c r="H86" s="31">
        <v>27.528268633769795</v>
      </c>
      <c r="I86" s="31">
        <v>25.854170544179873</v>
      </c>
      <c r="J86" s="31">
        <v>27.248724057187321</v>
      </c>
      <c r="K86" s="31">
        <v>27.839743907019116</v>
      </c>
      <c r="L86" s="31">
        <v>25.818482469242419</v>
      </c>
      <c r="M86" s="31">
        <v>26.890264730349983</v>
      </c>
      <c r="N86" s="31">
        <v>24.202504229991568</v>
      </c>
      <c r="O86" s="31">
        <v>27.464803067681512</v>
      </c>
      <c r="P86" s="31">
        <v>27.78197692938334</v>
      </c>
      <c r="Q86" s="31">
        <v>27.212894694284842</v>
      </c>
      <c r="R86" s="31">
        <v>24.720979270164054</v>
      </c>
      <c r="S86" s="31">
        <v>24.468758398778334</v>
      </c>
      <c r="T86" s="31">
        <v>25.893351982092828</v>
      </c>
      <c r="U86" s="31">
        <v>28.209802479757819</v>
      </c>
      <c r="V86" s="31">
        <v>28.505128098075023</v>
      </c>
      <c r="W86" s="31">
        <v>21.222666805592077</v>
      </c>
      <c r="X86" s="31">
        <v>23.264593178594072</v>
      </c>
      <c r="Y86" s="31">
        <v>24.295384826480596</v>
      </c>
      <c r="Z86" s="31">
        <v>21.165034865751593</v>
      </c>
      <c r="AA86" s="31">
        <v>22.436860988894953</v>
      </c>
      <c r="AB86" s="31">
        <v>22.014390935084265</v>
      </c>
      <c r="AC86" s="31">
        <v>22.873406935512758</v>
      </c>
      <c r="AD86" s="31">
        <v>22.936032135047025</v>
      </c>
      <c r="AE86" s="31">
        <v>22.304961031781268</v>
      </c>
      <c r="AF86" s="31">
        <v>20.552092248890254</v>
      </c>
      <c r="AG86" s="31">
        <v>21.84371942695649</v>
      </c>
      <c r="AH86" s="31">
        <v>17.37915246665839</v>
      </c>
      <c r="AI86" s="100">
        <v>17.105006513831963</v>
      </c>
      <c r="AJ86" s="100">
        <v>16.094174024415704</v>
      </c>
      <c r="AK86" s="100">
        <v>14.802630430367206</v>
      </c>
      <c r="AL86" s="100">
        <v>13.952537223380645</v>
      </c>
      <c r="AM86" s="100">
        <v>13.502367634685452</v>
      </c>
      <c r="AN86" s="100">
        <v>13.202200734708359</v>
      </c>
      <c r="AO86" s="100">
        <v>12.780133030797654</v>
      </c>
      <c r="AP86" s="100">
        <v>12.498702952690552</v>
      </c>
      <c r="AQ86" s="100">
        <v>11.836084395715133</v>
      </c>
      <c r="AR86" s="100">
        <v>11.103355778523786</v>
      </c>
    </row>
    <row r="87" spans="1:44">
      <c r="A87" s="30" t="s">
        <v>60</v>
      </c>
      <c r="B87" s="31">
        <v>0</v>
      </c>
      <c r="C87" s="31">
        <v>0</v>
      </c>
      <c r="D87" s="31">
        <v>8.0172635218376989E-4</v>
      </c>
      <c r="E87" s="31">
        <v>1.6406785501470217E-3</v>
      </c>
      <c r="F87" s="31">
        <v>4.0068190104330598E-3</v>
      </c>
      <c r="G87" s="31">
        <v>6.0633772165205246E-3</v>
      </c>
      <c r="H87" s="31">
        <v>9.9464297734973804E-3</v>
      </c>
      <c r="I87" s="31">
        <v>1.5076759483583207E-2</v>
      </c>
      <c r="J87" s="31">
        <v>2.4901697845869281E-2</v>
      </c>
      <c r="K87" s="31">
        <v>3.7921864557395969E-2</v>
      </c>
      <c r="L87" s="31">
        <v>5.9295078984735017E-2</v>
      </c>
      <c r="M87" s="31">
        <v>9.0807090068982591E-2</v>
      </c>
      <c r="N87" s="31">
        <v>0.13525990147532307</v>
      </c>
      <c r="O87" s="31">
        <v>0.19056909166229852</v>
      </c>
      <c r="P87" s="31">
        <v>0.27205597702465084</v>
      </c>
      <c r="Q87" s="31">
        <v>0.34155362634168718</v>
      </c>
      <c r="R87" s="31">
        <v>0.44608438354813823</v>
      </c>
      <c r="S87" s="31">
        <v>0.57150766675925624</v>
      </c>
      <c r="T87" s="31">
        <v>0.68596324353662586</v>
      </c>
      <c r="U87" s="31">
        <v>0.78569444487261297</v>
      </c>
      <c r="V87" s="31">
        <v>0.86310612645966489</v>
      </c>
      <c r="W87" s="31">
        <v>0.9109488213889656</v>
      </c>
      <c r="X87" s="31">
        <v>0.96768069492755815</v>
      </c>
      <c r="Y87" s="31">
        <v>1.0248082475075819</v>
      </c>
      <c r="Z87" s="31">
        <v>1.0851169522224009</v>
      </c>
      <c r="AA87" s="31">
        <v>1.1376095048321271</v>
      </c>
      <c r="AB87" s="31">
        <v>1.2227804448606212</v>
      </c>
      <c r="AC87" s="31">
        <v>1.2994609531010068</v>
      </c>
      <c r="AD87" s="31">
        <v>1.3721243180055329</v>
      </c>
      <c r="AE87" s="31">
        <v>1.4005545202498979</v>
      </c>
      <c r="AF87" s="31">
        <v>1.3758678692594115</v>
      </c>
      <c r="AG87" s="31">
        <v>1.3466386185143715</v>
      </c>
      <c r="AH87" s="31">
        <v>1.331868429320985</v>
      </c>
      <c r="AI87" s="100">
        <v>1.1235808012473556</v>
      </c>
      <c r="AJ87" s="100">
        <v>1.0267534558639504</v>
      </c>
      <c r="AK87" s="100">
        <v>0.89772549894905029</v>
      </c>
      <c r="AL87" s="100">
        <v>0.81422726450389771</v>
      </c>
      <c r="AM87" s="100">
        <v>0.66609238200073384</v>
      </c>
      <c r="AN87" s="100">
        <v>0.54665927419899163</v>
      </c>
      <c r="AO87" s="100">
        <v>0.36123690213126558</v>
      </c>
      <c r="AP87" s="100">
        <v>0.25758005965203684</v>
      </c>
      <c r="AQ87" s="100">
        <v>0.10691177262906856</v>
      </c>
      <c r="AR87" s="100">
        <v>5.2133823414963691E-2</v>
      </c>
    </row>
    <row r="88" spans="1:44">
      <c r="A88" s="30" t="s">
        <v>21</v>
      </c>
      <c r="B88" s="31">
        <v>0</v>
      </c>
      <c r="C88" s="31">
        <v>0</v>
      </c>
      <c r="D88" s="31">
        <v>0</v>
      </c>
      <c r="E88" s="31">
        <v>9.4910697169273937E-3</v>
      </c>
      <c r="F88" s="31">
        <v>1.6407781076225213E-2</v>
      </c>
      <c r="G88" s="31">
        <v>0.1295525772091643</v>
      </c>
      <c r="H88" s="31">
        <v>0.24709600815098012</v>
      </c>
      <c r="I88" s="31">
        <v>0.38020206420000424</v>
      </c>
      <c r="J88" s="31">
        <v>0.60882539713075756</v>
      </c>
      <c r="K88" s="31">
        <v>0.91207245082138055</v>
      </c>
      <c r="L88" s="31">
        <v>1.5264364922098996</v>
      </c>
      <c r="M88" s="31">
        <v>2.2097204789628044</v>
      </c>
      <c r="N88" s="31">
        <v>2.8626897779863234</v>
      </c>
      <c r="O88" s="31">
        <v>3.5144163580156058</v>
      </c>
      <c r="P88" s="31">
        <v>4.1623568914085443</v>
      </c>
      <c r="Q88" s="31">
        <v>4.7580562103708086</v>
      </c>
      <c r="R88" s="31">
        <v>5.3470463007320248</v>
      </c>
      <c r="S88" s="31">
        <v>5.8866460209534983</v>
      </c>
      <c r="T88" s="31">
        <v>6.3399777183463017</v>
      </c>
      <c r="U88" s="31">
        <v>6.8271517679851579</v>
      </c>
      <c r="V88" s="31">
        <v>7.1846052536671108</v>
      </c>
      <c r="W88" s="31">
        <v>7.3846972103412725</v>
      </c>
      <c r="X88" s="31">
        <v>7.4172710552076335</v>
      </c>
      <c r="Y88" s="31">
        <v>7.2741644250338338</v>
      </c>
      <c r="Z88" s="31">
        <v>7.0239821722810722</v>
      </c>
      <c r="AA88" s="31">
        <v>6.726937747758801</v>
      </c>
      <c r="AB88" s="31">
        <v>6.3117154035325589</v>
      </c>
      <c r="AC88" s="31">
        <v>5.7970794344549823</v>
      </c>
      <c r="AD88" s="31">
        <v>5.1020192537332267</v>
      </c>
      <c r="AE88" s="31">
        <v>4.1756576485359274</v>
      </c>
      <c r="AF88" s="31">
        <v>3.382295504143547</v>
      </c>
      <c r="AG88" s="31">
        <v>2.7451117032099592</v>
      </c>
      <c r="AH88" s="31">
        <v>2.1664371431758904</v>
      </c>
      <c r="AI88" s="100">
        <v>1.7368500613527487</v>
      </c>
      <c r="AJ88" s="100">
        <v>1.3643107012723523</v>
      </c>
      <c r="AK88" s="100">
        <v>1.0836673157071992</v>
      </c>
      <c r="AL88" s="100">
        <v>0.94748698923202213</v>
      </c>
      <c r="AM88" s="100">
        <v>0.76013251164909779</v>
      </c>
      <c r="AN88" s="100">
        <v>0.62148087134357399</v>
      </c>
      <c r="AO88" s="100">
        <v>0.46905086089206516</v>
      </c>
      <c r="AP88" s="100">
        <v>0.40048587731394336</v>
      </c>
      <c r="AQ88" s="100">
        <v>0.27339474634454214</v>
      </c>
      <c r="AR88" s="100">
        <v>0.19474952654683431</v>
      </c>
    </row>
    <row r="89" spans="1:44" ht="24">
      <c r="A89" s="30" t="s">
        <v>61</v>
      </c>
      <c r="B89" s="31">
        <v>0.15770038249456708</v>
      </c>
      <c r="C89" s="31">
        <v>0.15418684756702494</v>
      </c>
      <c r="D89" s="31">
        <v>0.1525822887475809</v>
      </c>
      <c r="E89" s="31">
        <v>0.15011898222671682</v>
      </c>
      <c r="F89" s="31">
        <v>0.27348994658581649</v>
      </c>
      <c r="G89" s="31">
        <v>0.4386550776052055</v>
      </c>
      <c r="H89" s="31">
        <v>0.7085665013977972</v>
      </c>
      <c r="I89" s="31">
        <v>0.84615602607457074</v>
      </c>
      <c r="J89" s="31">
        <v>0.84559744502549705</v>
      </c>
      <c r="K89" s="31">
        <v>0.85823820661196304</v>
      </c>
      <c r="L89" s="31">
        <v>0.83327803710012927</v>
      </c>
      <c r="M89" s="31">
        <v>0.8129269141624792</v>
      </c>
      <c r="N89" s="31">
        <v>0.8030488330354727</v>
      </c>
      <c r="O89" s="31">
        <v>0.83523986972976783</v>
      </c>
      <c r="P89" s="31">
        <v>0.77610105538174867</v>
      </c>
      <c r="Q89" s="31">
        <v>0.77939632247874091</v>
      </c>
      <c r="R89" s="31">
        <v>0.7832533242292129</v>
      </c>
      <c r="S89" s="31">
        <v>0.78139394129092365</v>
      </c>
      <c r="T89" s="31">
        <v>0.78611298690872822</v>
      </c>
      <c r="U89" s="31">
        <v>0.75907168737693886</v>
      </c>
      <c r="V89" s="31">
        <v>0.78384307034479184</v>
      </c>
      <c r="W89" s="31">
        <v>0.81633693878752001</v>
      </c>
      <c r="X89" s="31">
        <v>0.7478713946023996</v>
      </c>
      <c r="Y89" s="31">
        <v>0.70712732337879214</v>
      </c>
      <c r="Z89" s="31">
        <v>0.70933611528588414</v>
      </c>
      <c r="AA89" s="31">
        <v>0.70811344917686014</v>
      </c>
      <c r="AB89" s="31">
        <v>0.70216079310066803</v>
      </c>
      <c r="AC89" s="31">
        <v>0.70544668508553665</v>
      </c>
      <c r="AD89" s="31">
        <v>0.50390591049063582</v>
      </c>
      <c r="AE89" s="31">
        <v>0.26589482886957461</v>
      </c>
      <c r="AF89" s="31">
        <v>0.25154780047831676</v>
      </c>
      <c r="AG89" s="31">
        <v>0.26423246141145706</v>
      </c>
      <c r="AH89" s="31">
        <v>0.26179258852457282</v>
      </c>
      <c r="AI89" s="100">
        <v>0.18516645179276367</v>
      </c>
      <c r="AJ89" s="100">
        <v>0.18100021820652124</v>
      </c>
      <c r="AK89" s="100">
        <v>0.17769195465654611</v>
      </c>
      <c r="AL89" s="100">
        <v>0.16965236217104798</v>
      </c>
      <c r="AM89" s="100">
        <v>0.16091834129290936</v>
      </c>
      <c r="AN89" s="100">
        <v>0.16061182949266412</v>
      </c>
      <c r="AO89" s="100">
        <v>0.15951632003828034</v>
      </c>
      <c r="AP89" s="100">
        <v>0.1588494946071301</v>
      </c>
      <c r="AQ89" s="100">
        <v>0.15739333525930815</v>
      </c>
      <c r="AR89" s="100">
        <v>0.15576417733475734</v>
      </c>
    </row>
    <row r="90" spans="1:44" ht="24">
      <c r="A90" s="30" t="s">
        <v>62</v>
      </c>
      <c r="B90" s="31">
        <v>4.5130386175147157</v>
      </c>
      <c r="C90" s="31">
        <v>4.1560088397191199</v>
      </c>
      <c r="D90" s="31">
        <v>2.8399888306391343</v>
      </c>
      <c r="E90" s="31">
        <v>2.373778049822338</v>
      </c>
      <c r="F90" s="31">
        <v>1.1001436088347685</v>
      </c>
      <c r="G90" s="31">
        <v>0.61283184619470843</v>
      </c>
      <c r="H90" s="31">
        <v>1.0033436560202573</v>
      </c>
      <c r="I90" s="31">
        <v>1.4483977694490366</v>
      </c>
      <c r="J90" s="31">
        <v>2.0810083827273953</v>
      </c>
      <c r="K90" s="31">
        <v>2.0296238510543674</v>
      </c>
      <c r="L90" s="31">
        <v>1.9845089928945261</v>
      </c>
      <c r="M90" s="31">
        <v>2.1241098380621066</v>
      </c>
      <c r="N90" s="31">
        <v>2.6955508682256264</v>
      </c>
      <c r="O90" s="31">
        <v>2.9060916978466196</v>
      </c>
      <c r="P90" s="31">
        <v>2.9057261071536966</v>
      </c>
      <c r="Q90" s="31">
        <v>2.6544480001975126</v>
      </c>
      <c r="R90" s="31">
        <v>2.6766370540011777</v>
      </c>
      <c r="S90" s="31">
        <v>2.5462513713924571</v>
      </c>
      <c r="T90" s="31">
        <v>2.5618660997752727</v>
      </c>
      <c r="U90" s="31">
        <v>2.2820045405629381</v>
      </c>
      <c r="V90" s="31">
        <v>2.2820990550626208</v>
      </c>
      <c r="W90" s="31">
        <v>2.6758761478999533</v>
      </c>
      <c r="X90" s="31">
        <v>2.3061807382872193</v>
      </c>
      <c r="Y90" s="31">
        <v>2.2544526184159954</v>
      </c>
      <c r="Z90" s="31">
        <v>2.1390337094348584</v>
      </c>
      <c r="AA90" s="31">
        <v>2.0566027497036443</v>
      </c>
      <c r="AB90" s="31">
        <v>1.3619278614114863</v>
      </c>
      <c r="AC90" s="31">
        <v>1.3383944915865476</v>
      </c>
      <c r="AD90" s="31">
        <v>1.4840056664513701</v>
      </c>
      <c r="AE90" s="31">
        <v>1.4777263617297687</v>
      </c>
      <c r="AF90" s="31">
        <v>1.3301150086371072</v>
      </c>
      <c r="AG90" s="31">
        <v>1.9492551884808058</v>
      </c>
      <c r="AH90" s="31">
        <v>1.9842070274723567</v>
      </c>
      <c r="AI90" s="100">
        <v>1.3888236699802678</v>
      </c>
      <c r="AJ90" s="100">
        <v>1.304625735376024</v>
      </c>
      <c r="AK90" s="100">
        <v>1.1736485176623286</v>
      </c>
      <c r="AL90" s="100">
        <v>1.0876455025813239</v>
      </c>
      <c r="AM90" s="100">
        <v>1.0011914962205992</v>
      </c>
      <c r="AN90" s="100">
        <v>0.94539273738500851</v>
      </c>
      <c r="AO90" s="100">
        <v>0.87138549202560689</v>
      </c>
      <c r="AP90" s="100">
        <v>0.82348552507105155</v>
      </c>
      <c r="AQ90" s="100">
        <v>0.73276945100885349</v>
      </c>
      <c r="AR90" s="100">
        <v>0.64020382333649439</v>
      </c>
    </row>
    <row r="91" spans="1:44">
      <c r="A91" s="50" t="s">
        <v>63</v>
      </c>
      <c r="B91" s="51">
        <v>92.874877571251091</v>
      </c>
      <c r="C91" s="51">
        <v>102.52710445751836</v>
      </c>
      <c r="D91" s="51">
        <v>98.699081272157827</v>
      </c>
      <c r="E91" s="51">
        <v>95.072271506401009</v>
      </c>
      <c r="F91" s="51">
        <v>88.567254024688509</v>
      </c>
      <c r="G91" s="51">
        <v>88.496812700501607</v>
      </c>
      <c r="H91" s="51">
        <v>98.453204604809301</v>
      </c>
      <c r="I91" s="51">
        <v>93.544009263887247</v>
      </c>
      <c r="J91" s="51">
        <v>98.261334724382635</v>
      </c>
      <c r="K91" s="51">
        <v>99.981508476616611</v>
      </c>
      <c r="L91" s="51">
        <v>96.522587919284319</v>
      </c>
      <c r="M91" s="51">
        <v>102.39923822251706</v>
      </c>
      <c r="N91" s="51">
        <v>98.187964995430335</v>
      </c>
      <c r="O91" s="51">
        <v>103.91721982848553</v>
      </c>
      <c r="P91" s="51">
        <v>108.81495861523788</v>
      </c>
      <c r="Q91" s="51">
        <v>107.83614035341245</v>
      </c>
      <c r="R91" s="51">
        <v>103.28239319679059</v>
      </c>
      <c r="S91" s="51">
        <v>95.984452701397373</v>
      </c>
      <c r="T91" s="51">
        <v>103.13372051428499</v>
      </c>
      <c r="U91" s="51">
        <v>105.40993174504328</v>
      </c>
      <c r="V91" s="51">
        <v>104.34690263049822</v>
      </c>
      <c r="W91" s="51">
        <v>89.491598738578347</v>
      </c>
      <c r="X91" s="51">
        <v>95.350503168449251</v>
      </c>
      <c r="Y91" s="51">
        <v>97.820396711152284</v>
      </c>
      <c r="Z91" s="51">
        <v>81.541228387880111</v>
      </c>
      <c r="AA91" s="51">
        <v>84.971889385143172</v>
      </c>
      <c r="AB91" s="51">
        <v>84.740666974485436</v>
      </c>
      <c r="AC91" s="51">
        <v>84.110551168192586</v>
      </c>
      <c r="AD91" s="51">
        <v>80.016673272326557</v>
      </c>
      <c r="AE91" s="51">
        <v>76.465409447093833</v>
      </c>
      <c r="AF91" s="51">
        <v>72.089523175256502</v>
      </c>
      <c r="AG91" s="51">
        <v>74.367845776973581</v>
      </c>
      <c r="AH91" s="51">
        <v>61.748670124013522</v>
      </c>
      <c r="AI91" s="83">
        <f t="shared" ref="AI91:AR91" si="25">AI85+AI86+SUM(AI87:AI90)</f>
        <v>58.084727859015871</v>
      </c>
      <c r="AJ91" s="83">
        <f t="shared" si="25"/>
        <v>52.862007909393817</v>
      </c>
      <c r="AK91" s="83">
        <f t="shared" si="25"/>
        <v>47.328539182492641</v>
      </c>
      <c r="AL91" s="83">
        <f t="shared" si="25"/>
        <v>43.670239188872969</v>
      </c>
      <c r="AM91" s="83">
        <f t="shared" si="25"/>
        <v>40.549680741093226</v>
      </c>
      <c r="AN91" s="83">
        <f t="shared" si="25"/>
        <v>38.374528549679191</v>
      </c>
      <c r="AO91" s="83">
        <f t="shared" si="25"/>
        <v>36.200114875858269</v>
      </c>
      <c r="AP91" s="83">
        <f t="shared" si="25"/>
        <v>34.832659002815269</v>
      </c>
      <c r="AQ91" s="83">
        <f t="shared" si="25"/>
        <v>32.085436250275059</v>
      </c>
      <c r="AR91" s="83">
        <f t="shared" si="25"/>
        <v>29.613401111607821</v>
      </c>
    </row>
    <row r="92" spans="1:44" ht="15">
      <c r="A92" s="678"/>
      <c r="B92" s="678"/>
      <c r="C92" s="678"/>
      <c r="D92" s="678"/>
      <c r="E92" s="678"/>
      <c r="F92" s="678"/>
      <c r="G92" s="678"/>
      <c r="H92" s="678"/>
      <c r="I92" s="678"/>
      <c r="J92" s="678"/>
      <c r="K92" s="678"/>
      <c r="L92" s="678"/>
      <c r="M92" s="678"/>
      <c r="N92" s="678"/>
      <c r="O92" s="678"/>
      <c r="P92" s="678"/>
      <c r="Q92" s="678"/>
      <c r="R92" s="678"/>
      <c r="S92" s="678"/>
      <c r="T92" s="678"/>
      <c r="U92" s="678"/>
      <c r="V92" s="678"/>
      <c r="W92" s="678"/>
      <c r="X92" s="678"/>
      <c r="Y92" s="678"/>
      <c r="Z92" s="678"/>
      <c r="AA92" s="678"/>
      <c r="AB92" s="678"/>
      <c r="AC92" s="10"/>
      <c r="AD92" s="10"/>
      <c r="AE92" s="10"/>
      <c r="AF92" s="10"/>
      <c r="AG92" s="10"/>
      <c r="AH92" s="10"/>
    </row>
    <row r="93" spans="1:44">
      <c r="A93" s="52" t="s">
        <v>39</v>
      </c>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682" t="s">
        <v>117</v>
      </c>
      <c r="AJ93" s="682"/>
      <c r="AK93" s="682"/>
      <c r="AL93" s="682"/>
      <c r="AM93" s="682"/>
      <c r="AN93" s="682"/>
      <c r="AO93" s="682"/>
      <c r="AP93" s="682"/>
      <c r="AQ93" s="682"/>
      <c r="AR93" s="682"/>
    </row>
    <row r="94" spans="1:44" ht="26.4">
      <c r="A94" s="15" t="s">
        <v>34</v>
      </c>
      <c r="B94" s="16">
        <v>1990</v>
      </c>
      <c r="C94" s="16">
        <v>1991</v>
      </c>
      <c r="D94" s="16">
        <v>1992</v>
      </c>
      <c r="E94" s="16">
        <v>1993</v>
      </c>
      <c r="F94" s="16">
        <v>1994</v>
      </c>
      <c r="G94" s="16">
        <v>1995</v>
      </c>
      <c r="H94" s="16">
        <v>1996</v>
      </c>
      <c r="I94" s="16">
        <v>1997</v>
      </c>
      <c r="J94" s="16">
        <v>1998</v>
      </c>
      <c r="K94" s="16">
        <v>1999</v>
      </c>
      <c r="L94" s="16">
        <v>2000</v>
      </c>
      <c r="M94" s="16">
        <v>2001</v>
      </c>
      <c r="N94" s="16">
        <v>2002</v>
      </c>
      <c r="O94" s="16">
        <v>2003</v>
      </c>
      <c r="P94" s="16">
        <v>2004</v>
      </c>
      <c r="Q94" s="16">
        <v>2005</v>
      </c>
      <c r="R94" s="16">
        <v>2006</v>
      </c>
      <c r="S94" s="16">
        <v>2007</v>
      </c>
      <c r="T94" s="16">
        <v>2008</v>
      </c>
      <c r="U94" s="16">
        <v>2009</v>
      </c>
      <c r="V94" s="16">
        <v>2010</v>
      </c>
      <c r="W94" s="16">
        <v>2011</v>
      </c>
      <c r="X94" s="16">
        <v>2012</v>
      </c>
      <c r="Y94" s="16">
        <v>2013</v>
      </c>
      <c r="Z94" s="16">
        <v>2014</v>
      </c>
      <c r="AA94" s="16">
        <v>2015</v>
      </c>
      <c r="AB94" s="16">
        <v>2016</v>
      </c>
      <c r="AC94" s="16">
        <v>2017</v>
      </c>
      <c r="AD94" s="16">
        <v>2018</v>
      </c>
      <c r="AE94" s="16">
        <v>2019</v>
      </c>
      <c r="AF94" s="16">
        <v>2020</v>
      </c>
      <c r="AG94" s="17">
        <v>2021</v>
      </c>
      <c r="AH94" s="17">
        <v>2022</v>
      </c>
      <c r="AI94" s="16">
        <v>2023</v>
      </c>
      <c r="AJ94" s="86">
        <v>2025</v>
      </c>
      <c r="AK94" s="16">
        <v>2028</v>
      </c>
      <c r="AL94" s="86">
        <v>2030</v>
      </c>
      <c r="AM94" s="86">
        <v>2033</v>
      </c>
      <c r="AN94" s="16">
        <v>2035</v>
      </c>
      <c r="AO94" s="86">
        <v>2038</v>
      </c>
      <c r="AP94" s="16">
        <v>2040</v>
      </c>
      <c r="AQ94" s="16">
        <v>2045</v>
      </c>
      <c r="AR94" s="16">
        <v>2050</v>
      </c>
    </row>
    <row r="95" spans="1:44">
      <c r="A95" s="39" t="s">
        <v>64</v>
      </c>
      <c r="B95" s="31">
        <v>44.628216325068081</v>
      </c>
      <c r="C95" s="31">
        <v>43.887352098474999</v>
      </c>
      <c r="D95" s="31">
        <v>43.210023538256024</v>
      </c>
      <c r="E95" s="31">
        <v>42.817885370609353</v>
      </c>
      <c r="F95" s="31">
        <v>42.978697643888509</v>
      </c>
      <c r="G95" s="31">
        <v>43.229715757860042</v>
      </c>
      <c r="H95" s="31">
        <v>43.192680718847818</v>
      </c>
      <c r="I95" s="31">
        <v>42.717706321656969</v>
      </c>
      <c r="J95" s="31">
        <v>42.4857870974731</v>
      </c>
      <c r="K95" s="31">
        <v>42.540776324919626</v>
      </c>
      <c r="L95" s="31">
        <v>44.401674778370221</v>
      </c>
      <c r="M95" s="31">
        <v>44.499655573204009</v>
      </c>
      <c r="N95" s="31">
        <v>43.33828234047914</v>
      </c>
      <c r="O95" s="31">
        <v>41.877221845722346</v>
      </c>
      <c r="P95" s="31">
        <v>41.326054530521958</v>
      </c>
      <c r="Q95" s="31">
        <v>41.212510733401473</v>
      </c>
      <c r="R95" s="31">
        <v>41.385110577378249</v>
      </c>
      <c r="S95" s="31">
        <v>41.868050542063173</v>
      </c>
      <c r="T95" s="31">
        <v>42.757860743019506</v>
      </c>
      <c r="U95" s="31">
        <v>42.267108871227194</v>
      </c>
      <c r="V95" s="31">
        <v>41.729568453670204</v>
      </c>
      <c r="W95" s="31">
        <v>41.099976761029723</v>
      </c>
      <c r="X95" s="31">
        <v>40.721542112046819</v>
      </c>
      <c r="Y95" s="31">
        <v>40.851955198181017</v>
      </c>
      <c r="Z95" s="31">
        <v>41.459002749305753</v>
      </c>
      <c r="AA95" s="31">
        <v>41.657459500873422</v>
      </c>
      <c r="AB95" s="31">
        <v>41.407126518725157</v>
      </c>
      <c r="AC95" s="31">
        <v>40.934458710318559</v>
      </c>
      <c r="AD95" s="31">
        <v>40.159966639229175</v>
      </c>
      <c r="AE95" s="31">
        <v>39.428431757607662</v>
      </c>
      <c r="AF95" s="31">
        <v>38.728713819520294</v>
      </c>
      <c r="AG95" s="31">
        <v>37.716385999589512</v>
      </c>
      <c r="AH95" s="31">
        <v>36.790945571639121</v>
      </c>
      <c r="AI95" s="100">
        <v>36.419483323242552</v>
      </c>
      <c r="AJ95" s="100">
        <v>35.676205553065472</v>
      </c>
      <c r="AK95" s="100">
        <v>34.567107616968073</v>
      </c>
      <c r="AL95" s="100">
        <v>33.831567846844763</v>
      </c>
      <c r="AM95" s="100">
        <v>32.81242561844612</v>
      </c>
      <c r="AN95" s="100">
        <v>32.134839474191956</v>
      </c>
      <c r="AO95" s="100">
        <v>31.121228372949922</v>
      </c>
      <c r="AP95" s="100">
        <v>30.447336012739282</v>
      </c>
      <c r="AQ95" s="100">
        <v>28.769089162561066</v>
      </c>
      <c r="AR95" s="100">
        <v>27.059347936319373</v>
      </c>
    </row>
    <row r="96" spans="1:44">
      <c r="A96" s="39" t="s">
        <v>65</v>
      </c>
      <c r="B96" s="31">
        <v>2.3163563652918264</v>
      </c>
      <c r="C96" s="31">
        <v>2.3317143337760244</v>
      </c>
      <c r="D96" s="31">
        <v>2.4394835653825755</v>
      </c>
      <c r="E96" s="31">
        <v>2.5855567250202012</v>
      </c>
      <c r="F96" s="31">
        <v>2.7114033190139581</v>
      </c>
      <c r="G96" s="31">
        <v>2.7565996808808668</v>
      </c>
      <c r="H96" s="31">
        <v>2.8763054370343779</v>
      </c>
      <c r="I96" s="31">
        <v>2.9623668753427075</v>
      </c>
      <c r="J96" s="31">
        <v>3.0549893981459415</v>
      </c>
      <c r="K96" s="31">
        <v>3.0925571863815713</v>
      </c>
      <c r="L96" s="31">
        <v>3.1294343147787509</v>
      </c>
      <c r="M96" s="31">
        <v>3.242751744513515</v>
      </c>
      <c r="N96" s="31">
        <v>3.3066889661962207</v>
      </c>
      <c r="O96" s="31">
        <v>3.2902458372840333</v>
      </c>
      <c r="P96" s="31">
        <v>3.2803540843929109</v>
      </c>
      <c r="Q96" s="31">
        <v>3.2703055709513396</v>
      </c>
      <c r="R96" s="31">
        <v>3.2537684464073586</v>
      </c>
      <c r="S96" s="31">
        <v>3.273779053018683</v>
      </c>
      <c r="T96" s="31">
        <v>3.2702571002112997</v>
      </c>
      <c r="U96" s="31">
        <v>3.2183499858165727</v>
      </c>
      <c r="V96" s="31">
        <v>3.1367232735004147</v>
      </c>
      <c r="W96" s="31">
        <v>3.0812163457588486</v>
      </c>
      <c r="X96" s="31">
        <v>3.0144798048073551</v>
      </c>
      <c r="Y96" s="31">
        <v>2.9566002200699026</v>
      </c>
      <c r="Z96" s="31">
        <v>2.9529083232593694</v>
      </c>
      <c r="AA96" s="31">
        <v>2.9649369049677099</v>
      </c>
      <c r="AB96" s="31">
        <v>2.9881179256430901</v>
      </c>
      <c r="AC96" s="31">
        <v>2.9449588527972135</v>
      </c>
      <c r="AD96" s="31">
        <v>2.9472771575201202</v>
      </c>
      <c r="AE96" s="31">
        <v>2.8893260837048369</v>
      </c>
      <c r="AF96" s="31">
        <v>2.8488042260471729</v>
      </c>
      <c r="AG96" s="31">
        <v>2.8258024681814105</v>
      </c>
      <c r="AH96" s="31">
        <v>2.6159530105314195</v>
      </c>
      <c r="AI96" s="100">
        <v>2.6089345152781265</v>
      </c>
      <c r="AJ96" s="100">
        <v>2.5942835210284865</v>
      </c>
      <c r="AK96" s="100">
        <v>2.572371192976096</v>
      </c>
      <c r="AL96" s="100">
        <v>2.5578057498225508</v>
      </c>
      <c r="AM96" s="100">
        <v>2.4404642590591736</v>
      </c>
      <c r="AN96" s="100">
        <v>2.3635203199744446</v>
      </c>
      <c r="AO96" s="100">
        <v>2.2500299934836292</v>
      </c>
      <c r="AP96" s="100">
        <v>2.1756534972472736</v>
      </c>
      <c r="AQ96" s="100">
        <v>1.9942052816410369</v>
      </c>
      <c r="AR96" s="100">
        <v>1.8191756731557354</v>
      </c>
    </row>
    <row r="97" spans="1:52">
      <c r="A97" s="39" t="s">
        <v>9</v>
      </c>
      <c r="B97" s="31">
        <v>0.22367016278286903</v>
      </c>
      <c r="C97" s="31">
        <v>0.23064479286755946</v>
      </c>
      <c r="D97" s="31">
        <v>0.23677336685906927</v>
      </c>
      <c r="E97" s="31">
        <v>0.24335097470084918</v>
      </c>
      <c r="F97" s="31">
        <v>0.24910469477037839</v>
      </c>
      <c r="G97" s="31">
        <v>0.25463722147361068</v>
      </c>
      <c r="H97" s="31">
        <v>0.25895567291724453</v>
      </c>
      <c r="I97" s="31">
        <v>0.26510805367432172</v>
      </c>
      <c r="J97" s="31">
        <v>0.2728675060321924</v>
      </c>
      <c r="K97" s="31">
        <v>0.26496445608486491</v>
      </c>
      <c r="L97" s="31">
        <v>0.25760326633426162</v>
      </c>
      <c r="M97" s="31">
        <v>0.26230202808124992</v>
      </c>
      <c r="N97" s="31">
        <v>0.25938342968488387</v>
      </c>
      <c r="O97" s="31">
        <v>0.25089502256658519</v>
      </c>
      <c r="P97" s="31">
        <v>0.24003189170312772</v>
      </c>
      <c r="Q97" s="31">
        <v>0.233182837603016</v>
      </c>
      <c r="R97" s="31">
        <v>0.23011827574191313</v>
      </c>
      <c r="S97" s="31">
        <v>0.23162133163366921</v>
      </c>
      <c r="T97" s="31">
        <v>0.231881558733843</v>
      </c>
      <c r="U97" s="31">
        <v>0.2319916413487591</v>
      </c>
      <c r="V97" s="31">
        <v>0.23477465649514609</v>
      </c>
      <c r="W97" s="31">
        <v>0.23402122519472901</v>
      </c>
      <c r="X97" s="31">
        <v>0.23836043626774908</v>
      </c>
      <c r="Y97" s="31">
        <v>0.24090311276190621</v>
      </c>
      <c r="Z97" s="31">
        <v>0.24540881125478239</v>
      </c>
      <c r="AA97" s="31">
        <v>0.24878558298222508</v>
      </c>
      <c r="AB97" s="31">
        <v>0.24544382895931613</v>
      </c>
      <c r="AC97" s="31">
        <v>0.24549041612584047</v>
      </c>
      <c r="AD97" s="31">
        <v>0.24056965810325243</v>
      </c>
      <c r="AE97" s="31">
        <v>0.23730292785748153</v>
      </c>
      <c r="AF97" s="31">
        <v>0.23791239482992035</v>
      </c>
      <c r="AG97" s="31">
        <v>0.23581357718937102</v>
      </c>
      <c r="AH97" s="31">
        <v>0.22226055382685336</v>
      </c>
      <c r="AI97" s="100">
        <v>0.22545944879627475</v>
      </c>
      <c r="AJ97" s="100">
        <v>0.2319270687776363</v>
      </c>
      <c r="AK97" s="100">
        <v>0.24180307385597591</v>
      </c>
      <c r="AL97" s="100">
        <v>0.24850346064573384</v>
      </c>
      <c r="AM97" s="100">
        <v>0.24957570128384526</v>
      </c>
      <c r="AN97" s="100">
        <v>0.25029052837591964</v>
      </c>
      <c r="AO97" s="100">
        <v>0.25136276901403115</v>
      </c>
      <c r="AP97" s="100">
        <v>0.25207759610610542</v>
      </c>
      <c r="AQ97" s="100">
        <v>0.25386466383629125</v>
      </c>
      <c r="AR97" s="100">
        <v>0.25565173156647703</v>
      </c>
    </row>
    <row r="98" spans="1:52">
      <c r="A98" s="39" t="s">
        <v>66</v>
      </c>
      <c r="B98" s="31">
        <v>6.2846972271808283</v>
      </c>
      <c r="C98" s="31">
        <v>6.1552265983000112</v>
      </c>
      <c r="D98" s="31">
        <v>6.0177279828808787</v>
      </c>
      <c r="E98" s="31">
        <v>5.9672203148931855</v>
      </c>
      <c r="F98" s="31">
        <v>5.9732526976810458</v>
      </c>
      <c r="G98" s="31">
        <v>5.9893553514846873</v>
      </c>
      <c r="H98" s="31">
        <v>5.9795161538975101</v>
      </c>
      <c r="I98" s="31">
        <v>5.9193114635466353</v>
      </c>
      <c r="J98" s="31">
        <v>5.8699804321009061</v>
      </c>
      <c r="K98" s="31">
        <v>5.8060953199464489</v>
      </c>
      <c r="L98" s="31">
        <v>5.8096254194410317</v>
      </c>
      <c r="M98" s="31">
        <v>5.7228237960220643</v>
      </c>
      <c r="N98" s="31">
        <v>5.6716753334613026</v>
      </c>
      <c r="O98" s="31">
        <v>5.6234132643982768</v>
      </c>
      <c r="P98" s="31">
        <v>5.5621114577846571</v>
      </c>
      <c r="Q98" s="31">
        <v>5.5296563075809502</v>
      </c>
      <c r="R98" s="31">
        <v>5.4287884351136473</v>
      </c>
      <c r="S98" s="31">
        <v>5.3270168843895807</v>
      </c>
      <c r="T98" s="31">
        <v>5.2159164001501441</v>
      </c>
      <c r="U98" s="31">
        <v>5.190628840188352</v>
      </c>
      <c r="V98" s="31">
        <v>5.1953297878999276</v>
      </c>
      <c r="W98" s="31">
        <v>5.0478377781440704</v>
      </c>
      <c r="X98" s="31">
        <v>4.9257517630078702</v>
      </c>
      <c r="Y98" s="31">
        <v>4.8184856815735717</v>
      </c>
      <c r="Z98" s="31">
        <v>4.7927666232285873</v>
      </c>
      <c r="AA98" s="31">
        <v>4.7351342028685002</v>
      </c>
      <c r="AB98" s="31">
        <v>4.6864663275277794</v>
      </c>
      <c r="AC98" s="31">
        <v>4.6444763528610888</v>
      </c>
      <c r="AD98" s="31">
        <v>4.6873667788157798</v>
      </c>
      <c r="AE98" s="31">
        <v>4.6290184387011601</v>
      </c>
      <c r="AF98" s="31">
        <v>4.6333762426242</v>
      </c>
      <c r="AG98" s="31">
        <v>4.6004673910356431</v>
      </c>
      <c r="AH98" s="31">
        <v>4.3984019658793079</v>
      </c>
      <c r="AI98" s="100">
        <v>4.4027472135394481</v>
      </c>
      <c r="AJ98" s="100">
        <v>4.4148632382825479</v>
      </c>
      <c r="AK98" s="100">
        <v>4.4233757793062605</v>
      </c>
      <c r="AL98" s="100">
        <v>4.4247409060139944</v>
      </c>
      <c r="AM98" s="100">
        <v>4.3643182906917026</v>
      </c>
      <c r="AN98" s="100">
        <v>4.3258255082109853</v>
      </c>
      <c r="AO98" s="100">
        <v>4.2716978978620244</v>
      </c>
      <c r="AP98" s="100">
        <v>4.2356291559791472</v>
      </c>
      <c r="AQ98" s="100">
        <v>4.1437306924462902</v>
      </c>
      <c r="AR98" s="100">
        <v>4.0482336316409704</v>
      </c>
    </row>
    <row r="99" spans="1:52">
      <c r="A99" s="54" t="s">
        <v>67</v>
      </c>
      <c r="B99" s="55">
        <v>53.4529400803236</v>
      </c>
      <c r="C99" s="55">
        <v>52.604937823418595</v>
      </c>
      <c r="D99" s="55">
        <v>51.904008453378545</v>
      </c>
      <c r="E99" s="55">
        <v>51.614013385223586</v>
      </c>
      <c r="F99" s="55">
        <v>51.912458355353898</v>
      </c>
      <c r="G99" s="55">
        <v>52.230308011699208</v>
      </c>
      <c r="H99" s="55">
        <v>52.307457982696945</v>
      </c>
      <c r="I99" s="55">
        <v>51.864492714220638</v>
      </c>
      <c r="J99" s="55">
        <v>51.683624433752144</v>
      </c>
      <c r="K99" s="55">
        <v>51.704393287332508</v>
      </c>
      <c r="L99" s="55">
        <v>53.598337778924268</v>
      </c>
      <c r="M99" s="55">
        <v>53.727533141820835</v>
      </c>
      <c r="N99" s="55">
        <v>52.576030069821542</v>
      </c>
      <c r="O99" s="55">
        <v>51.041775969971241</v>
      </c>
      <c r="P99" s="55">
        <v>50.408551964402655</v>
      </c>
      <c r="Q99" s="55">
        <v>50.245655449536777</v>
      </c>
      <c r="R99" s="55">
        <v>50.297785734641167</v>
      </c>
      <c r="S99" s="55">
        <v>50.700467811105106</v>
      </c>
      <c r="T99" s="55">
        <v>51.475915802114791</v>
      </c>
      <c r="U99" s="55">
        <v>50.908079338580876</v>
      </c>
      <c r="V99" s="55">
        <v>50.296396171565696</v>
      </c>
      <c r="W99" s="55">
        <v>49.463052110127371</v>
      </c>
      <c r="X99" s="55">
        <v>48.900134116129792</v>
      </c>
      <c r="Y99" s="55">
        <v>48.867944212586394</v>
      </c>
      <c r="Z99" s="55">
        <v>49.450086507048496</v>
      </c>
      <c r="AA99" s="55">
        <v>49.606316191691853</v>
      </c>
      <c r="AB99" s="55">
        <v>49.327154600855344</v>
      </c>
      <c r="AC99" s="55">
        <v>48.769384332102703</v>
      </c>
      <c r="AD99" s="55">
        <v>48.035180233668328</v>
      </c>
      <c r="AE99" s="55">
        <v>47.184079207871143</v>
      </c>
      <c r="AF99" s="55">
        <v>46.448806683021587</v>
      </c>
      <c r="AG99" s="55">
        <v>45.378469435995932</v>
      </c>
      <c r="AH99" s="55">
        <v>44.027561101876707</v>
      </c>
      <c r="AI99" s="102">
        <v>43.656624500856402</v>
      </c>
      <c r="AJ99" s="102">
        <v>42.917279381154145</v>
      </c>
      <c r="AK99" s="102">
        <v>41.804657663106404</v>
      </c>
      <c r="AL99" s="102">
        <v>41.062617963327043</v>
      </c>
      <c r="AM99" s="102">
        <v>39.866783869480841</v>
      </c>
      <c r="AN99" s="102">
        <v>39.074475830753308</v>
      </c>
      <c r="AO99" s="102">
        <v>37.894319033309607</v>
      </c>
      <c r="AP99" s="102">
        <v>37.110696262071805</v>
      </c>
      <c r="AQ99" s="102">
        <v>35.160889800484682</v>
      </c>
      <c r="AR99" s="102">
        <v>33.182408972682559</v>
      </c>
    </row>
    <row r="100" spans="1:52">
      <c r="A100" s="39" t="s">
        <v>68</v>
      </c>
      <c r="B100" s="31">
        <v>13.338168050941793</v>
      </c>
      <c r="C100" s="31">
        <v>13.083375561358078</v>
      </c>
      <c r="D100" s="31">
        <v>12.761545825016736</v>
      </c>
      <c r="E100" s="31">
        <v>12.162523455426808</v>
      </c>
      <c r="F100" s="31">
        <v>11.388008555103726</v>
      </c>
      <c r="G100" s="31">
        <v>11.84549212041847</v>
      </c>
      <c r="H100" s="31">
        <v>12.230033315623311</v>
      </c>
      <c r="I100" s="31">
        <v>12.593892713085218</v>
      </c>
      <c r="J100" s="31">
        <v>12.513072253622347</v>
      </c>
      <c r="K100" s="31">
        <v>12.638133843921304</v>
      </c>
      <c r="L100" s="31">
        <v>12.783179370251933</v>
      </c>
      <c r="M100" s="31">
        <v>12.712966206646749</v>
      </c>
      <c r="N100" s="31">
        <v>12.36050559834038</v>
      </c>
      <c r="O100" s="31">
        <v>12.011175766976306</v>
      </c>
      <c r="P100" s="31">
        <v>12.055122937571413</v>
      </c>
      <c r="Q100" s="31">
        <v>12.286065074948063</v>
      </c>
      <c r="R100" s="31">
        <v>11.718440508615391</v>
      </c>
      <c r="S100" s="31">
        <v>11.329664558916875</v>
      </c>
      <c r="T100" s="31">
        <v>11.947398195157897</v>
      </c>
      <c r="U100" s="31">
        <v>11.870144195280483</v>
      </c>
      <c r="V100" s="31">
        <v>10.959755570020436</v>
      </c>
      <c r="W100" s="31">
        <v>11.628015859442012</v>
      </c>
      <c r="X100" s="31">
        <v>11.543065922422153</v>
      </c>
      <c r="Y100" s="31">
        <v>11.00772960262203</v>
      </c>
      <c r="Z100" s="31">
        <v>11.437842568434734</v>
      </c>
      <c r="AA100" s="31">
        <v>11.561737792432801</v>
      </c>
      <c r="AB100" s="31">
        <v>11.630123000098525</v>
      </c>
      <c r="AC100" s="31">
        <v>11.703699227931969</v>
      </c>
      <c r="AD100" s="31">
        <v>11.894286444323271</v>
      </c>
      <c r="AE100" s="31">
        <v>11.229613798539068</v>
      </c>
      <c r="AF100" s="31">
        <v>10.81695484967203</v>
      </c>
      <c r="AG100" s="31">
        <v>10.421406320421475</v>
      </c>
      <c r="AH100" s="31">
        <v>9.7756142618979851</v>
      </c>
      <c r="AI100" s="100">
        <v>9.7760870974024261</v>
      </c>
      <c r="AJ100" s="100">
        <v>9.7770327684113152</v>
      </c>
      <c r="AK100" s="100">
        <v>9.7784512749246453</v>
      </c>
      <c r="AL100" s="100">
        <v>9.7793969459335326</v>
      </c>
      <c r="AM100" s="100">
        <v>9.8315258524300173</v>
      </c>
      <c r="AN100" s="100">
        <v>9.8662784567610071</v>
      </c>
      <c r="AO100" s="100">
        <v>9.9184073632574883</v>
      </c>
      <c r="AP100" s="100">
        <v>9.9531599675884781</v>
      </c>
      <c r="AQ100" s="100">
        <v>10.040041478415953</v>
      </c>
      <c r="AR100" s="100">
        <v>10.126922989243427</v>
      </c>
    </row>
    <row r="101" spans="1:52">
      <c r="A101" s="39" t="s">
        <v>69</v>
      </c>
      <c r="B101" s="31">
        <v>1.4966853118689152</v>
      </c>
      <c r="C101" s="31">
        <v>1.4834719595773107</v>
      </c>
      <c r="D101" s="31">
        <v>1.4720463329690634</v>
      </c>
      <c r="E101" s="31">
        <v>1.4754781182792231</v>
      </c>
      <c r="F101" s="31">
        <v>1.4920216030973661</v>
      </c>
      <c r="G101" s="31">
        <v>1.5066183974977208</v>
      </c>
      <c r="H101" s="31">
        <v>1.5184155176989109</v>
      </c>
      <c r="I101" s="31">
        <v>1.513316909594147</v>
      </c>
      <c r="J101" s="31">
        <v>1.5126890883899489</v>
      </c>
      <c r="K101" s="31">
        <v>1.5044625676588643</v>
      </c>
      <c r="L101" s="31">
        <v>1.534458979737757</v>
      </c>
      <c r="M101" s="31">
        <v>1.5244340658004163</v>
      </c>
      <c r="N101" s="31">
        <v>1.4986014105924228</v>
      </c>
      <c r="O101" s="31">
        <v>1.4585528634122791</v>
      </c>
      <c r="P101" s="31">
        <v>1.4351092669832286</v>
      </c>
      <c r="Q101" s="31">
        <v>1.4274339678394015</v>
      </c>
      <c r="R101" s="31">
        <v>1.4214432981973075</v>
      </c>
      <c r="S101" s="31">
        <v>1.4345431283229118</v>
      </c>
      <c r="T101" s="31">
        <v>1.4559141791086068</v>
      </c>
      <c r="U101" s="31">
        <v>1.4334856504847779</v>
      </c>
      <c r="V101" s="31">
        <v>1.4277283589137784</v>
      </c>
      <c r="W101" s="31">
        <v>1.4113982620178047</v>
      </c>
      <c r="X101" s="31">
        <v>1.4096046463387728</v>
      </c>
      <c r="Y101" s="31">
        <v>1.4044221297857233</v>
      </c>
      <c r="Z101" s="31">
        <v>1.4222099912449577</v>
      </c>
      <c r="AA101" s="31">
        <v>1.438877367830409</v>
      </c>
      <c r="AB101" s="31">
        <v>1.4248890812544697</v>
      </c>
      <c r="AC101" s="31">
        <v>1.4195944633628694</v>
      </c>
      <c r="AD101" s="31">
        <v>1.4247938502466793</v>
      </c>
      <c r="AE101" s="31">
        <v>1.4009400712788971</v>
      </c>
      <c r="AF101" s="31">
        <v>1.3916732288715581</v>
      </c>
      <c r="AG101" s="31">
        <v>1.4011930049022283</v>
      </c>
      <c r="AH101" s="31">
        <v>1.380328435321625</v>
      </c>
      <c r="AI101" s="100">
        <v>1.4464247057455593</v>
      </c>
      <c r="AJ101" s="100">
        <v>1.4537830257538307</v>
      </c>
      <c r="AK101" s="100">
        <v>1.4648117260531546</v>
      </c>
      <c r="AL101" s="100">
        <v>1.4720671588845387</v>
      </c>
      <c r="AM101" s="100">
        <v>1.4692571878248273</v>
      </c>
      <c r="AN101" s="100">
        <v>1.467116877472149</v>
      </c>
      <c r="AO101" s="100">
        <v>1.4638127647895898</v>
      </c>
      <c r="AP101" s="100">
        <v>1.4613188365396061</v>
      </c>
      <c r="AQ101" s="100">
        <v>1.4547037131552893</v>
      </c>
      <c r="AR101" s="100">
        <v>1.4470398226611931</v>
      </c>
    </row>
    <row r="102" spans="1:52">
      <c r="A102" s="39" t="s">
        <v>70</v>
      </c>
      <c r="B102" s="31">
        <v>1.7822130670245981</v>
      </c>
      <c r="C102" s="31">
        <v>1.7646942731491069</v>
      </c>
      <c r="D102" s="31">
        <v>1.7593897110982069</v>
      </c>
      <c r="E102" s="31">
        <v>1.749370917054925</v>
      </c>
      <c r="F102" s="31">
        <v>1.7549020391484669</v>
      </c>
      <c r="G102" s="31">
        <v>1.7664986877914977</v>
      </c>
      <c r="H102" s="31">
        <v>1.7732066345271322</v>
      </c>
      <c r="I102" s="31">
        <v>1.7587151656784386</v>
      </c>
      <c r="J102" s="31">
        <v>1.7490743543306351</v>
      </c>
      <c r="K102" s="31">
        <v>1.7517725138005182</v>
      </c>
      <c r="L102" s="31">
        <v>1.8093960809155025</v>
      </c>
      <c r="M102" s="31">
        <v>1.8210757940106628</v>
      </c>
      <c r="N102" s="31">
        <v>1.7689854460132093</v>
      </c>
      <c r="O102" s="31">
        <v>1.7151154397370829</v>
      </c>
      <c r="P102" s="31">
        <v>1.6840122198762115</v>
      </c>
      <c r="Q102" s="31">
        <v>1.6692523408906013</v>
      </c>
      <c r="R102" s="31">
        <v>1.6733810165874108</v>
      </c>
      <c r="S102" s="31">
        <v>1.6835453009652741</v>
      </c>
      <c r="T102" s="31">
        <v>1.6790944884073951</v>
      </c>
      <c r="U102" s="31">
        <v>1.6733329210307895</v>
      </c>
      <c r="V102" s="31">
        <v>1.6554629540712549</v>
      </c>
      <c r="W102" s="31">
        <v>1.6204263016745535</v>
      </c>
      <c r="X102" s="31">
        <v>1.6106311054244824</v>
      </c>
      <c r="Y102" s="31">
        <v>1.6270138265984018</v>
      </c>
      <c r="Z102" s="31">
        <v>1.6486092140143109</v>
      </c>
      <c r="AA102" s="31">
        <v>1.6623356250827976</v>
      </c>
      <c r="AB102" s="31">
        <v>1.6600966844862988</v>
      </c>
      <c r="AC102" s="31">
        <v>1.6429347505662744</v>
      </c>
      <c r="AD102" s="31">
        <v>1.6098260675334708</v>
      </c>
      <c r="AE102" s="31">
        <v>1.5808712710914841</v>
      </c>
      <c r="AF102" s="31">
        <v>1.5495211591968394</v>
      </c>
      <c r="AG102" s="31">
        <v>1.5130013311430461</v>
      </c>
      <c r="AH102" s="31">
        <v>1.4781232813409686</v>
      </c>
      <c r="AI102" s="100">
        <v>1.4659968112965878</v>
      </c>
      <c r="AJ102" s="100">
        <v>1.4415043268866683</v>
      </c>
      <c r="AK102" s="100">
        <v>1.4041674888851075</v>
      </c>
      <c r="AL102" s="100">
        <v>1.3788781055055526</v>
      </c>
      <c r="AM102" s="100">
        <v>1.338954392631118</v>
      </c>
      <c r="AN102" s="100">
        <v>1.3123272227510014</v>
      </c>
      <c r="AO102" s="100">
        <v>1.2723694259850882</v>
      </c>
      <c r="AP102" s="100">
        <v>1.245719533510653</v>
      </c>
      <c r="AQ102" s="100">
        <v>1.179055037784509</v>
      </c>
      <c r="AR102" s="100">
        <v>1.1123337355725655</v>
      </c>
    </row>
    <row r="103" spans="1:52">
      <c r="A103" s="39" t="s">
        <v>71</v>
      </c>
      <c r="B103" s="31">
        <v>9.5628667766203934E-2</v>
      </c>
      <c r="C103" s="31">
        <v>9.8237288046873983E-2</v>
      </c>
      <c r="D103" s="31">
        <v>9.8711157717538481E-2</v>
      </c>
      <c r="E103" s="31">
        <v>9.4791255138426067E-2</v>
      </c>
      <c r="F103" s="31">
        <v>9.6681073480988422E-2</v>
      </c>
      <c r="G103" s="31">
        <v>9.4724530671178517E-2</v>
      </c>
      <c r="H103" s="31">
        <v>0.10065002915912839</v>
      </c>
      <c r="I103" s="31">
        <v>0.10031994156379297</v>
      </c>
      <c r="J103" s="31">
        <v>0.10497225305576298</v>
      </c>
      <c r="K103" s="31">
        <v>0.10307493240455762</v>
      </c>
      <c r="L103" s="31">
        <v>0.10329832838082098</v>
      </c>
      <c r="M103" s="31">
        <v>8.8893739615238915E-2</v>
      </c>
      <c r="N103" s="31">
        <v>8.9635144680355425E-2</v>
      </c>
      <c r="O103" s="31">
        <v>7.3638949317996444E-2</v>
      </c>
      <c r="P103" s="31">
        <v>7.6162302223873699E-2</v>
      </c>
      <c r="Q103" s="31">
        <v>6.6356192372243161E-2</v>
      </c>
      <c r="R103" s="31">
        <v>6.449079751437696E-2</v>
      </c>
      <c r="S103" s="31">
        <v>6.0721722431646925E-2</v>
      </c>
      <c r="T103" s="31">
        <v>6.3604284400837208E-2</v>
      </c>
      <c r="U103" s="31">
        <v>6.3020943284638184E-2</v>
      </c>
      <c r="V103" s="31">
        <v>5.8422875380111948E-2</v>
      </c>
      <c r="W103" s="31">
        <v>5.5395120967722422E-2</v>
      </c>
      <c r="X103" s="31">
        <v>5.3378123677021966E-2</v>
      </c>
      <c r="Y103" s="31">
        <v>4.6129340574275222E-2</v>
      </c>
      <c r="Z103" s="31">
        <v>4.4377834645557411E-2</v>
      </c>
      <c r="AA103" s="31">
        <v>4.2346333676663808E-2</v>
      </c>
      <c r="AB103" s="31">
        <v>3.4129010104544152E-2</v>
      </c>
      <c r="AC103" s="31">
        <v>3.7794503085452368E-2</v>
      </c>
      <c r="AD103" s="31">
        <v>3.3758675916595787E-2</v>
      </c>
      <c r="AE103" s="31">
        <v>3.59496080928094E-2</v>
      </c>
      <c r="AF103" s="31">
        <v>3.118695922291476E-2</v>
      </c>
      <c r="AG103" s="31">
        <v>3.2453725447811665E-2</v>
      </c>
      <c r="AH103" s="31">
        <v>3.1816644665586195E-2</v>
      </c>
      <c r="AI103" s="100">
        <v>3.1395871196404489E-2</v>
      </c>
      <c r="AJ103" s="100">
        <v>3.0554324258041075E-2</v>
      </c>
      <c r="AK103" s="100">
        <v>2.9292003850495959E-2</v>
      </c>
      <c r="AL103" s="100">
        <v>2.8450456912132542E-2</v>
      </c>
      <c r="AM103" s="100">
        <v>2.897528609911719E-2</v>
      </c>
      <c r="AN103" s="100">
        <v>2.9325172223773618E-2</v>
      </c>
      <c r="AO103" s="100">
        <v>2.9850001410758269E-2</v>
      </c>
      <c r="AP103" s="100">
        <v>3.0199887535414697E-2</v>
      </c>
      <c r="AQ103" s="100">
        <v>3.1074602847055769E-2</v>
      </c>
      <c r="AR103" s="100">
        <v>3.1949318158696859E-2</v>
      </c>
    </row>
    <row r="104" spans="1:52">
      <c r="A104" s="39" t="s">
        <v>72</v>
      </c>
      <c r="B104" s="31">
        <v>7.9753664100277417</v>
      </c>
      <c r="C104" s="31">
        <v>8.21971405077573</v>
      </c>
      <c r="D104" s="31">
        <v>8.5983303413248997</v>
      </c>
      <c r="E104" s="31">
        <v>8.3170919869374487</v>
      </c>
      <c r="F104" s="31">
        <v>8.1265319789236941</v>
      </c>
      <c r="G104" s="31">
        <v>7.94681925986057</v>
      </c>
      <c r="H104" s="31">
        <v>8.0502494772429039</v>
      </c>
      <c r="I104" s="31">
        <v>8.2752726011210331</v>
      </c>
      <c r="J104" s="31">
        <v>8.4774262988719151</v>
      </c>
      <c r="K104" s="31">
        <v>8.6746898737442049</v>
      </c>
      <c r="L104" s="31">
        <v>8.7975162929545512</v>
      </c>
      <c r="M104" s="31">
        <v>8.4722507787993386</v>
      </c>
      <c r="N104" s="31">
        <v>8.5706604600192211</v>
      </c>
      <c r="O104" s="31">
        <v>7.4239504123751905</v>
      </c>
      <c r="P104" s="31">
        <v>8.6068171901197754</v>
      </c>
      <c r="Q104" s="31">
        <v>8.1501834461052169</v>
      </c>
      <c r="R104" s="31">
        <v>8.1324915704851328</v>
      </c>
      <c r="S104" s="31">
        <v>8.6212834103036844</v>
      </c>
      <c r="T104" s="31">
        <v>8.7275616885123917</v>
      </c>
      <c r="U104" s="31">
        <v>8.3798764882444328</v>
      </c>
      <c r="V104" s="31">
        <v>7.8624928798557434</v>
      </c>
      <c r="W104" s="31">
        <v>7.8063259909551874</v>
      </c>
      <c r="X104" s="31">
        <v>8.3077079692237721</v>
      </c>
      <c r="Y104" s="31">
        <v>8.0771568563198848</v>
      </c>
      <c r="Z104" s="31">
        <v>8.6189554388868252</v>
      </c>
      <c r="AA104" s="31">
        <v>8.0214037260777467</v>
      </c>
      <c r="AB104" s="31">
        <v>7.5412305558833168</v>
      </c>
      <c r="AC104" s="31">
        <v>8.0781294721424022</v>
      </c>
      <c r="AD104" s="31">
        <v>7.6488010306722121</v>
      </c>
      <c r="AE104" s="31">
        <v>7.5039630993200799</v>
      </c>
      <c r="AF104" s="31">
        <v>7.2190871886525345</v>
      </c>
      <c r="AG104" s="31">
        <v>7.3258434066224147</v>
      </c>
      <c r="AH104" s="31">
        <v>6.9800757719259714</v>
      </c>
      <c r="AI104" s="100">
        <v>6.9112854568667901</v>
      </c>
      <c r="AJ104" s="100">
        <v>6.746374089317519</v>
      </c>
      <c r="AK104" s="100">
        <v>6.4969437995592703</v>
      </c>
      <c r="AL104" s="100">
        <v>6.3290020871368249</v>
      </c>
      <c r="AM104" s="100">
        <v>6.2939527466868359</v>
      </c>
      <c r="AN104" s="100">
        <v>6.270572726459009</v>
      </c>
      <c r="AO104" s="100">
        <v>6.235732744536632</v>
      </c>
      <c r="AP104" s="100">
        <v>6.2124744499493678</v>
      </c>
      <c r="AQ104" s="100">
        <v>6.1547150551954397</v>
      </c>
      <c r="AR104" s="100">
        <v>6.0970862993806119</v>
      </c>
    </row>
    <row r="105" spans="1:52">
      <c r="A105" s="54" t="s">
        <v>122</v>
      </c>
      <c r="B105" s="55">
        <v>24.688061507629254</v>
      </c>
      <c r="C105" s="55">
        <v>24.649493132907104</v>
      </c>
      <c r="D105" s="55">
        <v>24.690023368126443</v>
      </c>
      <c r="E105" s="55">
        <v>23.799255732836833</v>
      </c>
      <c r="F105" s="55">
        <v>22.858145249754241</v>
      </c>
      <c r="G105" s="55">
        <v>23.160152996239439</v>
      </c>
      <c r="H105" s="55">
        <v>23.672554974251383</v>
      </c>
      <c r="I105" s="55">
        <v>24.24151733104263</v>
      </c>
      <c r="J105" s="55">
        <v>24.357234248270608</v>
      </c>
      <c r="K105" s="55">
        <v>24.672133731529449</v>
      </c>
      <c r="L105" s="55">
        <v>25.027849052240562</v>
      </c>
      <c r="M105" s="55">
        <v>24.619620584872404</v>
      </c>
      <c r="N105" s="55">
        <v>24.288388059645591</v>
      </c>
      <c r="O105" s="55">
        <v>22.682433431818854</v>
      </c>
      <c r="P105" s="55">
        <v>23.857223916774501</v>
      </c>
      <c r="Q105" s="55">
        <v>23.599291022155526</v>
      </c>
      <c r="R105" s="55">
        <v>23.010247191399621</v>
      </c>
      <c r="S105" s="55">
        <v>23.129758120940391</v>
      </c>
      <c r="T105" s="55">
        <v>23.873572835587126</v>
      </c>
      <c r="U105" s="55">
        <v>23.419860198325122</v>
      </c>
      <c r="V105" s="55">
        <v>21.963862638241324</v>
      </c>
      <c r="W105" s="55">
        <v>22.52156153505728</v>
      </c>
      <c r="X105" s="55">
        <v>22.924387767086202</v>
      </c>
      <c r="Y105" s="55">
        <v>22.162451755900314</v>
      </c>
      <c r="Z105" s="55">
        <v>23.171995047226382</v>
      </c>
      <c r="AA105" s="55">
        <v>22.726700845100417</v>
      </c>
      <c r="AB105" s="55">
        <v>22.290468331827157</v>
      </c>
      <c r="AC105" s="55">
        <v>22.882152417088967</v>
      </c>
      <c r="AD105" s="55">
        <v>22.611466068692231</v>
      </c>
      <c r="AE105" s="55">
        <v>21.751337848322336</v>
      </c>
      <c r="AF105" s="55">
        <v>21.008423385615874</v>
      </c>
      <c r="AG105" s="55">
        <v>20.693897788536979</v>
      </c>
      <c r="AH105" s="55">
        <v>19.645958395152135</v>
      </c>
      <c r="AI105" s="102">
        <v>19.631189942507767</v>
      </c>
      <c r="AJ105" s="102">
        <v>19.449248534627376</v>
      </c>
      <c r="AK105" s="102">
        <v>19.173666293272674</v>
      </c>
      <c r="AL105" s="102">
        <v>18.98779475437258</v>
      </c>
      <c r="AM105" s="102">
        <v>18.962665465671915</v>
      </c>
      <c r="AN105" s="102">
        <v>18.945620455666941</v>
      </c>
      <c r="AO105" s="102">
        <v>18.920172299979555</v>
      </c>
      <c r="AP105" s="102">
        <v>18.902872675123522</v>
      </c>
      <c r="AQ105" s="102">
        <v>18.859589887398247</v>
      </c>
      <c r="AR105" s="102">
        <v>18.815332165016493</v>
      </c>
    </row>
    <row r="106" spans="1:52">
      <c r="A106" s="39" t="s">
        <v>73</v>
      </c>
      <c r="B106" s="31">
        <v>10.134775992874992</v>
      </c>
      <c r="C106" s="31">
        <v>10.120729741823462</v>
      </c>
      <c r="D106" s="31">
        <v>10.414552443535788</v>
      </c>
      <c r="E106" s="31">
        <v>10.512848342763357</v>
      </c>
      <c r="F106" s="31">
        <v>10.332883126384132</v>
      </c>
      <c r="G106" s="31">
        <v>10.425104316916466</v>
      </c>
      <c r="H106" s="31">
        <v>10.728586983951246</v>
      </c>
      <c r="I106" s="31">
        <v>10.656244049160009</v>
      </c>
      <c r="J106" s="31">
        <v>10.89586284887387</v>
      </c>
      <c r="K106" s="31">
        <v>10.92335674160463</v>
      </c>
      <c r="L106" s="31">
        <v>11.045766773643111</v>
      </c>
      <c r="M106" s="31">
        <v>11.107581895939582</v>
      </c>
      <c r="N106" s="31">
        <v>10.730429466668971</v>
      </c>
      <c r="O106" s="31">
        <v>10.569037793238161</v>
      </c>
      <c r="P106" s="31">
        <v>11.203652076284898</v>
      </c>
      <c r="Q106" s="31">
        <v>10.914344487802559</v>
      </c>
      <c r="R106" s="31">
        <v>10.626012296336974</v>
      </c>
      <c r="S106" s="31">
        <v>10.470974141383266</v>
      </c>
      <c r="T106" s="31">
        <v>10.826654391737403</v>
      </c>
      <c r="U106" s="31">
        <v>10.887541281998008</v>
      </c>
      <c r="V106" s="31">
        <v>10.520960858674579</v>
      </c>
      <c r="W106" s="31">
        <v>10.374529470185497</v>
      </c>
      <c r="X106" s="31">
        <v>9.8284032995103772</v>
      </c>
      <c r="Y106" s="31">
        <v>10.488610210977111</v>
      </c>
      <c r="Z106" s="31">
        <v>10.455795136078033</v>
      </c>
      <c r="AA106" s="31">
        <v>10.352258925244987</v>
      </c>
      <c r="AB106" s="31">
        <v>9.6598475911538149</v>
      </c>
      <c r="AC106" s="31">
        <v>9.2709578083602242</v>
      </c>
      <c r="AD106" s="31">
        <v>9.3866574375204976</v>
      </c>
      <c r="AE106" s="31">
        <v>9.1860614422566638</v>
      </c>
      <c r="AF106" s="31">
        <v>10.229269645595442</v>
      </c>
      <c r="AG106" s="31">
        <v>9.8280806437428918</v>
      </c>
      <c r="AH106" s="31">
        <v>10.006580123112151</v>
      </c>
      <c r="AI106" s="673">
        <v>10.515033445821221</v>
      </c>
      <c r="AJ106" s="673">
        <v>10.269190810595163</v>
      </c>
      <c r="AK106" s="673">
        <v>9.9804179514792413</v>
      </c>
      <c r="AL106" s="673">
        <v>9.7882923292293871</v>
      </c>
      <c r="AM106" s="673">
        <v>9.6376266782036719</v>
      </c>
      <c r="AN106" s="673">
        <v>9.5371803807903195</v>
      </c>
      <c r="AO106" s="673">
        <v>9.3864922247309295</v>
      </c>
      <c r="AP106" s="673">
        <v>9.286030806096921</v>
      </c>
      <c r="AQ106" s="673">
        <v>9.0342001504732874</v>
      </c>
      <c r="AR106" s="673">
        <v>8.7848202096502792</v>
      </c>
    </row>
    <row r="107" spans="1:52">
      <c r="A107" s="39" t="s">
        <v>74</v>
      </c>
      <c r="B107" s="31">
        <v>0.44889516577650651</v>
      </c>
      <c r="C107" s="31">
        <v>0.45797812254696263</v>
      </c>
      <c r="D107" s="31">
        <v>0.46711391040384798</v>
      </c>
      <c r="E107" s="31">
        <v>0.47005311573095487</v>
      </c>
      <c r="F107" s="31">
        <v>0.47966214951227343</v>
      </c>
      <c r="G107" s="31">
        <v>0.48153718226144127</v>
      </c>
      <c r="H107" s="31">
        <v>0.49022087883277388</v>
      </c>
      <c r="I107" s="31">
        <v>0.49895094308324356</v>
      </c>
      <c r="J107" s="31">
        <v>0.50093531377117384</v>
      </c>
      <c r="K107" s="31">
        <v>0.51088250461126783</v>
      </c>
      <c r="L107" s="31">
        <v>0.51946589916524388</v>
      </c>
      <c r="M107" s="31">
        <v>0.51657013096240034</v>
      </c>
      <c r="N107" s="31">
        <v>0.52042307784221808</v>
      </c>
      <c r="O107" s="31">
        <v>0.52410709031591873</v>
      </c>
      <c r="P107" s="31">
        <v>0.55139961242464819</v>
      </c>
      <c r="Q107" s="31">
        <v>0.53908706109124072</v>
      </c>
      <c r="R107" s="31">
        <v>0.53115733820951894</v>
      </c>
      <c r="S107" s="31">
        <v>0.52604242631674092</v>
      </c>
      <c r="T107" s="31">
        <v>0.54719108993859411</v>
      </c>
      <c r="U107" s="31">
        <v>0.55695254117894566</v>
      </c>
      <c r="V107" s="31">
        <v>0.53716026301250774</v>
      </c>
      <c r="W107" s="31">
        <v>0.53242430887537484</v>
      </c>
      <c r="X107" s="31">
        <v>0.49428169206624395</v>
      </c>
      <c r="Y107" s="31">
        <v>0.53019657932818332</v>
      </c>
      <c r="Z107" s="31">
        <v>0.53615679878194111</v>
      </c>
      <c r="AA107" s="31">
        <v>0.53669776463240482</v>
      </c>
      <c r="AB107" s="31">
        <v>0.49935391116659955</v>
      </c>
      <c r="AC107" s="31">
        <v>0.48162999523228794</v>
      </c>
      <c r="AD107" s="31">
        <v>0.48263174373226814</v>
      </c>
      <c r="AE107" s="31">
        <v>0.46644541081411883</v>
      </c>
      <c r="AF107" s="31">
        <v>0.52644741656840865</v>
      </c>
      <c r="AG107" s="31">
        <v>0.50348623167126094</v>
      </c>
      <c r="AH107" s="31">
        <v>0.50856542121840087</v>
      </c>
      <c r="AI107" s="674"/>
      <c r="AJ107" s="674"/>
      <c r="AK107" s="674"/>
      <c r="AL107" s="674"/>
      <c r="AM107" s="674"/>
      <c r="AN107" s="674"/>
      <c r="AO107" s="674"/>
      <c r="AP107" s="674"/>
      <c r="AQ107" s="674"/>
      <c r="AR107" s="674"/>
    </row>
    <row r="108" spans="1:52">
      <c r="A108" s="54" t="s">
        <v>123</v>
      </c>
      <c r="B108" s="55">
        <v>10.583671158651498</v>
      </c>
      <c r="C108" s="55">
        <v>10.578707864370426</v>
      </c>
      <c r="D108" s="55">
        <v>10.881666353939636</v>
      </c>
      <c r="E108" s="55">
        <v>10.982901458494313</v>
      </c>
      <c r="F108" s="55">
        <v>10.812545275896406</v>
      </c>
      <c r="G108" s="55">
        <v>10.906641499177907</v>
      </c>
      <c r="H108" s="55">
        <v>11.21880786278402</v>
      </c>
      <c r="I108" s="55">
        <v>11.155194992243253</v>
      </c>
      <c r="J108" s="55">
        <v>11.396798162645045</v>
      </c>
      <c r="K108" s="55">
        <v>11.434239246215897</v>
      </c>
      <c r="L108" s="55">
        <v>11.565232672808355</v>
      </c>
      <c r="M108" s="55">
        <v>11.624152026901982</v>
      </c>
      <c r="N108" s="55">
        <v>11.25085254451119</v>
      </c>
      <c r="O108" s="55">
        <v>11.09314488355408</v>
      </c>
      <c r="P108" s="55">
        <v>11.755051688709546</v>
      </c>
      <c r="Q108" s="55">
        <v>11.4534315488938</v>
      </c>
      <c r="R108" s="55">
        <v>11.157169634546493</v>
      </c>
      <c r="S108" s="55">
        <v>10.997016567700006</v>
      </c>
      <c r="T108" s="55">
        <v>11.373845481675996</v>
      </c>
      <c r="U108" s="55">
        <v>11.444493823176954</v>
      </c>
      <c r="V108" s="55">
        <v>11.058121121687087</v>
      </c>
      <c r="W108" s="55">
        <v>10.906953779060871</v>
      </c>
      <c r="X108" s="55">
        <v>10.322684991576621</v>
      </c>
      <c r="Y108" s="55">
        <v>11.018806790305295</v>
      </c>
      <c r="Z108" s="55">
        <v>10.991951934859973</v>
      </c>
      <c r="AA108" s="55">
        <v>10.888956689877393</v>
      </c>
      <c r="AB108" s="55">
        <v>10.159201502320414</v>
      </c>
      <c r="AC108" s="55">
        <v>9.7525878035925118</v>
      </c>
      <c r="AD108" s="55">
        <v>9.8692891812527659</v>
      </c>
      <c r="AE108" s="55">
        <v>9.6525068530707827</v>
      </c>
      <c r="AF108" s="55">
        <v>10.755717062163852</v>
      </c>
      <c r="AG108" s="55">
        <v>10.331566875414152</v>
      </c>
      <c r="AH108" s="55">
        <v>10.515145544330553</v>
      </c>
      <c r="AI108" s="103">
        <f>AI106</f>
        <v>10.515033445821221</v>
      </c>
      <c r="AJ108" s="103">
        <f t="shared" ref="AJ108:AR108" si="26">AJ106</f>
        <v>10.269190810595163</v>
      </c>
      <c r="AK108" s="103">
        <f t="shared" si="26"/>
        <v>9.9804179514792413</v>
      </c>
      <c r="AL108" s="103">
        <f t="shared" si="26"/>
        <v>9.7882923292293871</v>
      </c>
      <c r="AM108" s="103">
        <f t="shared" si="26"/>
        <v>9.6376266782036719</v>
      </c>
      <c r="AN108" s="103">
        <f t="shared" si="26"/>
        <v>9.5371803807903195</v>
      </c>
      <c r="AO108" s="103">
        <f t="shared" si="26"/>
        <v>9.3864922247309295</v>
      </c>
      <c r="AP108" s="103">
        <f t="shared" si="26"/>
        <v>9.286030806096921</v>
      </c>
      <c r="AQ108" s="103">
        <f t="shared" si="26"/>
        <v>9.0342001504732874</v>
      </c>
      <c r="AR108" s="103">
        <f t="shared" si="26"/>
        <v>8.7848202096502792</v>
      </c>
    </row>
    <row r="109" spans="1:52">
      <c r="A109" s="56" t="s">
        <v>75</v>
      </c>
      <c r="B109" s="57">
        <v>88.724672746604355</v>
      </c>
      <c r="C109" s="57">
        <v>87.833138820696135</v>
      </c>
      <c r="D109" s="57">
        <v>87.47569817544462</v>
      </c>
      <c r="E109" s="57">
        <v>86.396170576554724</v>
      </c>
      <c r="F109" s="57">
        <v>85.583148881004547</v>
      </c>
      <c r="G109" s="57">
        <v>86.297102507116563</v>
      </c>
      <c r="H109" s="57">
        <v>87.198820819732347</v>
      </c>
      <c r="I109" s="57">
        <v>87.261205037506528</v>
      </c>
      <c r="J109" s="57">
        <v>87.437656844667799</v>
      </c>
      <c r="K109" s="57">
        <v>87.810766265077859</v>
      </c>
      <c r="L109" s="57">
        <v>90.191419503973179</v>
      </c>
      <c r="M109" s="57">
        <v>89.971305753595217</v>
      </c>
      <c r="N109" s="57">
        <v>88.11527067397833</v>
      </c>
      <c r="O109" s="57">
        <v>84.817354285344166</v>
      </c>
      <c r="P109" s="57">
        <v>86.020827569886691</v>
      </c>
      <c r="Q109" s="57">
        <v>85.298378020586114</v>
      </c>
      <c r="R109" s="57">
        <v>84.465202560587286</v>
      </c>
      <c r="S109" s="57">
        <v>84.827242499745495</v>
      </c>
      <c r="T109" s="57">
        <v>86.72333411937791</v>
      </c>
      <c r="U109" s="57">
        <v>85.772433360082957</v>
      </c>
      <c r="V109" s="57">
        <v>83.318379931494121</v>
      </c>
      <c r="W109" s="57">
        <v>82.891567424245522</v>
      </c>
      <c r="X109" s="57">
        <v>82.147206874792616</v>
      </c>
      <c r="Y109" s="57">
        <v>82.049202758792006</v>
      </c>
      <c r="Z109" s="57">
        <v>83.61403348913484</v>
      </c>
      <c r="AA109" s="57">
        <v>83.22197372666966</v>
      </c>
      <c r="AB109" s="57">
        <v>81.776824435002922</v>
      </c>
      <c r="AC109" s="57">
        <v>81.404124552784197</v>
      </c>
      <c r="AD109" s="57">
        <v>80.515935483613319</v>
      </c>
      <c r="AE109" s="57">
        <v>78.587923909264248</v>
      </c>
      <c r="AF109" s="57">
        <v>78.212947130801311</v>
      </c>
      <c r="AG109" s="57">
        <v>76.403934099947065</v>
      </c>
      <c r="AH109" s="57">
        <v>74.1886650413594</v>
      </c>
      <c r="AI109" s="104">
        <f>SUM(AI99,AI105,AI108)</f>
        <v>73.802847889185387</v>
      </c>
      <c r="AJ109" s="104">
        <f>SUM(AJ99,AJ105,AJ108)</f>
        <v>72.63571872637668</v>
      </c>
      <c r="AK109" s="104">
        <f t="shared" ref="AK109:AR109" si="27">SUM(AK99,AK105,AK108)</f>
        <v>70.958741907858325</v>
      </c>
      <c r="AL109" s="104">
        <f t="shared" si="27"/>
        <v>69.838705046929007</v>
      </c>
      <c r="AM109" s="104">
        <f t="shared" si="27"/>
        <v>68.467076013356433</v>
      </c>
      <c r="AN109" s="104">
        <f t="shared" si="27"/>
        <v>67.557276667210573</v>
      </c>
      <c r="AO109" s="104">
        <f t="shared" si="27"/>
        <v>66.200983558020084</v>
      </c>
      <c r="AP109" s="104">
        <f t="shared" si="27"/>
        <v>65.299599743292248</v>
      </c>
      <c r="AQ109" s="104">
        <f t="shared" si="27"/>
        <v>63.054679838356215</v>
      </c>
      <c r="AR109" s="104">
        <f t="shared" si="27"/>
        <v>60.782561347349329</v>
      </c>
      <c r="AZ109" s="672"/>
    </row>
    <row r="110" spans="1:52">
      <c r="A110" s="58"/>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114"/>
      <c r="AJ110" s="114"/>
      <c r="AK110" s="114"/>
      <c r="AL110" s="114"/>
      <c r="AM110" s="114"/>
      <c r="AN110" s="114"/>
      <c r="AO110" s="114"/>
      <c r="AP110" s="114"/>
      <c r="AQ110" s="114"/>
      <c r="AR110" s="114"/>
      <c r="AZ110" s="672"/>
    </row>
    <row r="111" spans="1:52">
      <c r="A111" s="60" t="s">
        <v>1</v>
      </c>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83" t="s">
        <v>117</v>
      </c>
      <c r="AJ111" s="683"/>
      <c r="AK111" s="683"/>
      <c r="AL111" s="683"/>
      <c r="AM111" s="683"/>
      <c r="AN111" s="683"/>
      <c r="AO111" s="683"/>
      <c r="AP111" s="683"/>
      <c r="AQ111" s="683"/>
      <c r="AR111" s="683"/>
    </row>
    <row r="112" spans="1:52" ht="26.4">
      <c r="A112" s="15" t="s">
        <v>34</v>
      </c>
      <c r="B112" s="16">
        <v>1990</v>
      </c>
      <c r="C112" s="16">
        <v>1991</v>
      </c>
      <c r="D112" s="16">
        <v>1992</v>
      </c>
      <c r="E112" s="16">
        <v>1993</v>
      </c>
      <c r="F112" s="16">
        <v>1994</v>
      </c>
      <c r="G112" s="16">
        <v>1995</v>
      </c>
      <c r="H112" s="16">
        <v>1996</v>
      </c>
      <c r="I112" s="16">
        <v>1997</v>
      </c>
      <c r="J112" s="16">
        <v>1998</v>
      </c>
      <c r="K112" s="16">
        <v>1999</v>
      </c>
      <c r="L112" s="16">
        <v>2000</v>
      </c>
      <c r="M112" s="16">
        <v>2001</v>
      </c>
      <c r="N112" s="16">
        <v>2002</v>
      </c>
      <c r="O112" s="16">
        <v>2003</v>
      </c>
      <c r="P112" s="16">
        <v>2004</v>
      </c>
      <c r="Q112" s="16">
        <v>2005</v>
      </c>
      <c r="R112" s="16">
        <v>2006</v>
      </c>
      <c r="S112" s="16">
        <v>2007</v>
      </c>
      <c r="T112" s="16">
        <v>2008</v>
      </c>
      <c r="U112" s="16">
        <v>2009</v>
      </c>
      <c r="V112" s="16">
        <v>2010</v>
      </c>
      <c r="W112" s="16">
        <v>2011</v>
      </c>
      <c r="X112" s="16">
        <v>2012</v>
      </c>
      <c r="Y112" s="16">
        <v>2013</v>
      </c>
      <c r="Z112" s="16">
        <v>2014</v>
      </c>
      <c r="AA112" s="16">
        <v>2015</v>
      </c>
      <c r="AB112" s="16">
        <v>2016</v>
      </c>
      <c r="AC112" s="16">
        <v>2017</v>
      </c>
      <c r="AD112" s="16">
        <v>2018</v>
      </c>
      <c r="AE112" s="16">
        <v>2019</v>
      </c>
      <c r="AF112" s="16">
        <v>2020</v>
      </c>
      <c r="AG112" s="17">
        <v>2021</v>
      </c>
      <c r="AH112" s="17">
        <v>2022</v>
      </c>
      <c r="AI112" s="16">
        <v>2023</v>
      </c>
      <c r="AJ112" s="86">
        <v>2025</v>
      </c>
      <c r="AK112" s="16">
        <v>2028</v>
      </c>
      <c r="AL112" s="86">
        <v>2030</v>
      </c>
      <c r="AM112" s="86">
        <v>2033</v>
      </c>
      <c r="AN112" s="16">
        <v>2035</v>
      </c>
      <c r="AO112" s="86">
        <v>2038</v>
      </c>
      <c r="AP112" s="16">
        <v>2040</v>
      </c>
      <c r="AQ112" s="16">
        <v>2045</v>
      </c>
      <c r="AR112" s="16">
        <v>2050</v>
      </c>
    </row>
    <row r="113" spans="1:44">
      <c r="A113" s="39" t="s">
        <v>76</v>
      </c>
      <c r="B113" s="31">
        <v>15.057576967542166</v>
      </c>
      <c r="C113" s="31">
        <v>16.834104149179129</v>
      </c>
      <c r="D113" s="31">
        <v>18.762527630352672</v>
      </c>
      <c r="E113" s="31">
        <v>20.597386991979718</v>
      </c>
      <c r="F113" s="31">
        <v>22.568597420703139</v>
      </c>
      <c r="G113" s="31">
        <v>25.308642823766597</v>
      </c>
      <c r="H113" s="31">
        <v>27.292592706406484</v>
      </c>
      <c r="I113" s="31">
        <v>28.772995303896828</v>
      </c>
      <c r="J113" s="31">
        <v>31.020977504872512</v>
      </c>
      <c r="K113" s="31">
        <v>32.821653283032134</v>
      </c>
      <c r="L113" s="31">
        <v>34.453903690593314</v>
      </c>
      <c r="M113" s="31">
        <v>38.123317513367979</v>
      </c>
      <c r="N113" s="31">
        <v>40.39597502165936</v>
      </c>
      <c r="O113" s="31">
        <v>43.096500606766192</v>
      </c>
      <c r="P113" s="31">
        <v>44.572999170966973</v>
      </c>
      <c r="Q113" s="31">
        <v>45.533150062115197</v>
      </c>
      <c r="R113" s="31">
        <v>48.083506885442816</v>
      </c>
      <c r="S113" s="31">
        <v>49.928179053536901</v>
      </c>
      <c r="T113" s="31">
        <v>49.742565204170354</v>
      </c>
      <c r="U113" s="31">
        <v>51.853036675353039</v>
      </c>
      <c r="V113" s="31">
        <v>53.486462280742856</v>
      </c>
      <c r="W113" s="31">
        <v>54.604918769494937</v>
      </c>
      <c r="X113" s="31">
        <v>56.105208749989309</v>
      </c>
      <c r="Y113" s="31">
        <v>56.632733557725125</v>
      </c>
      <c r="Z113" s="31">
        <v>56.836839334453245</v>
      </c>
      <c r="AA113" s="31">
        <v>57.251821483320796</v>
      </c>
      <c r="AB113" s="31">
        <v>56.776068816512378</v>
      </c>
      <c r="AC113" s="31">
        <v>55.36837414263875</v>
      </c>
      <c r="AD113" s="31">
        <v>52.256562870269498</v>
      </c>
      <c r="AE113" s="31">
        <v>50.093683694945149</v>
      </c>
      <c r="AF113" s="31">
        <v>39.737671795721859</v>
      </c>
      <c r="AG113" s="31">
        <v>43.019285201797892</v>
      </c>
      <c r="AH113" s="31">
        <v>44.44329370848299</v>
      </c>
      <c r="AI113" s="100">
        <v>41.700455635334023</v>
      </c>
      <c r="AJ113" s="100">
        <v>36.18761496679403</v>
      </c>
      <c r="AK113" s="100">
        <v>26.23528632480037</v>
      </c>
      <c r="AL113" s="100">
        <v>19.639101682198472</v>
      </c>
      <c r="AM113" s="100">
        <v>14.141485854241562</v>
      </c>
      <c r="AN113" s="100">
        <v>10.485816596190782</v>
      </c>
      <c r="AO113" s="100">
        <v>7.6878379406521251</v>
      </c>
      <c r="AP113" s="100">
        <v>5.8225264616302388</v>
      </c>
      <c r="AQ113" s="100">
        <v>3.1800282602474734</v>
      </c>
      <c r="AR113" s="100">
        <v>1.9623009372281655</v>
      </c>
    </row>
    <row r="114" spans="1:44">
      <c r="A114" s="39" t="s">
        <v>77</v>
      </c>
      <c r="B114" s="31">
        <v>52.959586515713795</v>
      </c>
      <c r="C114" s="31">
        <v>51.798465858999428</v>
      </c>
      <c r="D114" s="31">
        <v>52.637416483602706</v>
      </c>
      <c r="E114" s="31">
        <v>50.902628759567797</v>
      </c>
      <c r="F114" s="31">
        <v>48.960937272799697</v>
      </c>
      <c r="G114" s="31">
        <v>47.541124778523582</v>
      </c>
      <c r="H114" s="31">
        <v>46.203800478987901</v>
      </c>
      <c r="I114" s="31">
        <v>45.258179275913072</v>
      </c>
      <c r="J114" s="31">
        <v>44.267066358889331</v>
      </c>
      <c r="K114" s="31">
        <v>43.345650154115773</v>
      </c>
      <c r="L114" s="31">
        <v>41.575381296263956</v>
      </c>
      <c r="M114" s="31">
        <v>40.716518681559762</v>
      </c>
      <c r="N114" s="31">
        <v>39.12888845196521</v>
      </c>
      <c r="O114" s="31">
        <v>36.989379010915556</v>
      </c>
      <c r="P114" s="31">
        <v>35.057091428281652</v>
      </c>
      <c r="Q114" s="31">
        <v>32.397318008352542</v>
      </c>
      <c r="R114" s="31">
        <v>29.752751108848855</v>
      </c>
      <c r="S114" s="31">
        <v>27.450221171661433</v>
      </c>
      <c r="T114" s="31">
        <v>24.408360947321192</v>
      </c>
      <c r="U114" s="31">
        <v>23.466177159648964</v>
      </c>
      <c r="V114" s="31">
        <v>21.816407688781972</v>
      </c>
      <c r="W114" s="31">
        <v>20.371858300963506</v>
      </c>
      <c r="X114" s="31">
        <v>18.461513117163467</v>
      </c>
      <c r="Y114" s="31">
        <v>17.726014886679188</v>
      </c>
      <c r="Z114" s="31">
        <v>17.981838541706573</v>
      </c>
      <c r="AA114" s="31">
        <v>17.902982635088247</v>
      </c>
      <c r="AB114" s="31">
        <v>19.024954523860366</v>
      </c>
      <c r="AC114" s="31">
        <v>19.163175552666413</v>
      </c>
      <c r="AD114" s="31">
        <v>20.056178319933032</v>
      </c>
      <c r="AE114" s="31">
        <v>21.62787725453715</v>
      </c>
      <c r="AF114" s="31">
        <v>18.700787267286035</v>
      </c>
      <c r="AG114" s="31">
        <v>22.651961546979976</v>
      </c>
      <c r="AH114" s="31">
        <v>24.545340769998912</v>
      </c>
      <c r="AI114" s="100">
        <v>25.229263004478085</v>
      </c>
      <c r="AJ114" s="100">
        <v>26.733615492011296</v>
      </c>
      <c r="AK114" s="100">
        <v>31.049184485250592</v>
      </c>
      <c r="AL114" s="100">
        <v>33.980950513258044</v>
      </c>
      <c r="AM114" s="100">
        <v>31.96331118379014</v>
      </c>
      <c r="AN114" s="100">
        <v>30.641150459143454</v>
      </c>
      <c r="AO114" s="100">
        <v>24.056071071239977</v>
      </c>
      <c r="AP114" s="100">
        <v>19.66215169591306</v>
      </c>
      <c r="AQ114" s="100">
        <v>10.280073542038647</v>
      </c>
      <c r="AR114" s="100">
        <v>5.937827702346989</v>
      </c>
    </row>
    <row r="115" spans="1:44">
      <c r="A115" s="39" t="s">
        <v>78</v>
      </c>
      <c r="B115" s="31">
        <v>5.2669452017145388E-2</v>
      </c>
      <c r="C115" s="31">
        <v>4.1965762819263161E-2</v>
      </c>
      <c r="D115" s="31">
        <v>3.2080245357755929E-2</v>
      </c>
      <c r="E115" s="31">
        <v>2.6981121059860624E-2</v>
      </c>
      <c r="F115" s="31">
        <v>2.2973316917232357E-2</v>
      </c>
      <c r="G115" s="31">
        <v>1.8232698860642414E-2</v>
      </c>
      <c r="H115" s="31">
        <v>3.3618709733547719E-2</v>
      </c>
      <c r="I115" s="31">
        <v>7.1940382895894023E-2</v>
      </c>
      <c r="J115" s="31">
        <v>0.1153130406755119</v>
      </c>
      <c r="K115" s="31">
        <v>0.15536394378851509</v>
      </c>
      <c r="L115" s="31">
        <v>0.34750082665704229</v>
      </c>
      <c r="M115" s="31">
        <v>0.18542445830252316</v>
      </c>
      <c r="N115" s="31">
        <v>0.17347641391274762</v>
      </c>
      <c r="O115" s="31">
        <v>0.11614539938493293</v>
      </c>
      <c r="P115" s="31">
        <v>0.10587985192964607</v>
      </c>
      <c r="Q115" s="31">
        <v>0.14040143952687598</v>
      </c>
      <c r="R115" s="31">
        <v>0.13162444969841763</v>
      </c>
      <c r="S115" s="31">
        <v>0.10677474421875098</v>
      </c>
      <c r="T115" s="31">
        <v>9.2480107249031648E-2</v>
      </c>
      <c r="U115" s="31">
        <v>8.3188163963856726E-2</v>
      </c>
      <c r="V115" s="31">
        <v>9.7255642561896033E-2</v>
      </c>
      <c r="W115" s="31">
        <v>0.14319628945099599</v>
      </c>
      <c r="X115" s="31">
        <v>0.131979103466699</v>
      </c>
      <c r="Y115" s="31">
        <v>0.11876984399060024</v>
      </c>
      <c r="Z115" s="31">
        <v>7.9757646342798111E-2</v>
      </c>
      <c r="AA115" s="31">
        <v>6.9527202360361209E-2</v>
      </c>
      <c r="AB115" s="31">
        <v>6.158706010250508E-2</v>
      </c>
      <c r="AC115" s="31">
        <v>5.2749453601678077E-2</v>
      </c>
      <c r="AD115" s="31">
        <v>4.5580962417676389E-2</v>
      </c>
      <c r="AE115" s="31">
        <v>3.9206692899108567E-2</v>
      </c>
      <c r="AF115" s="31">
        <v>2.1960552779452386E-2</v>
      </c>
      <c r="AG115" s="31">
        <v>3.8624554755398E-2</v>
      </c>
      <c r="AH115" s="31">
        <v>6.9389526008011335E-2</v>
      </c>
      <c r="AI115" s="100">
        <v>4.6179289676047411E-2</v>
      </c>
      <c r="AJ115" s="100">
        <v>0</v>
      </c>
      <c r="AK115" s="100">
        <v>0</v>
      </c>
      <c r="AL115" s="100">
        <v>0</v>
      </c>
      <c r="AM115" s="100">
        <v>0</v>
      </c>
      <c r="AN115" s="100">
        <v>0</v>
      </c>
      <c r="AO115" s="100">
        <v>0</v>
      </c>
      <c r="AP115" s="100">
        <v>0</v>
      </c>
      <c r="AQ115" s="100">
        <v>0</v>
      </c>
      <c r="AR115" s="100">
        <v>0</v>
      </c>
    </row>
    <row r="116" spans="1:44">
      <c r="A116" s="39" t="s">
        <v>79</v>
      </c>
      <c r="B116" s="31">
        <v>6.6799088693307807E-5</v>
      </c>
      <c r="C116" s="31">
        <v>6.4164111553850593E-5</v>
      </c>
      <c r="D116" s="31">
        <v>6.0912899490126509E-5</v>
      </c>
      <c r="E116" s="31">
        <v>3.8739976459992989E-4</v>
      </c>
      <c r="F116" s="31">
        <v>1.9630835888297094E-4</v>
      </c>
      <c r="G116" s="31">
        <v>9.8849966782160717E-5</v>
      </c>
      <c r="H116" s="31">
        <v>1.0792570187893673E-4</v>
      </c>
      <c r="I116" s="31">
        <v>7.9446469454671654E-5</v>
      </c>
      <c r="J116" s="31">
        <v>7.1189524102968936E-5</v>
      </c>
      <c r="K116" s="31">
        <v>6.5184475992769456E-5</v>
      </c>
      <c r="L116" s="31">
        <v>2.9444997076905332E-4</v>
      </c>
      <c r="M116" s="31">
        <v>1.2608687795867828E-3</v>
      </c>
      <c r="N116" s="31">
        <v>2.553603595180975E-3</v>
      </c>
      <c r="O116" s="31">
        <v>1.9235139478072502E-3</v>
      </c>
      <c r="P116" s="31">
        <v>2.0735974328595979E-3</v>
      </c>
      <c r="Q116" s="31">
        <v>4.105889467047423E-3</v>
      </c>
      <c r="R116" s="31">
        <v>5.0984509857877882E-3</v>
      </c>
      <c r="S116" s="31">
        <v>3.9208188251705009E-3</v>
      </c>
      <c r="T116" s="31">
        <v>4.6052867088121905E-3</v>
      </c>
      <c r="U116" s="31">
        <v>4.4041514333168991E-3</v>
      </c>
      <c r="V116" s="31">
        <v>4.4254081284413769E-3</v>
      </c>
      <c r="W116" s="31">
        <v>1.4216419717016439E-2</v>
      </c>
      <c r="X116" s="31">
        <v>1.6082641204646683E-2</v>
      </c>
      <c r="Y116" s="31">
        <v>1.7886371225286059E-2</v>
      </c>
      <c r="Z116" s="31">
        <v>9.8648774115136888E-3</v>
      </c>
      <c r="AA116" s="31">
        <v>9.4910521175754856E-3</v>
      </c>
      <c r="AB116" s="31">
        <v>6.6815392138635981E-3</v>
      </c>
      <c r="AC116" s="31">
        <v>4.3631124427616942E-3</v>
      </c>
      <c r="AD116" s="31">
        <v>3.4381352238624695E-3</v>
      </c>
      <c r="AE116" s="31">
        <v>2.9863043939292056E-3</v>
      </c>
      <c r="AF116" s="31">
        <v>2.1887503819555377E-3</v>
      </c>
      <c r="AG116" s="31">
        <v>4.0214041348006916E-3</v>
      </c>
      <c r="AH116" s="31">
        <v>4.8369294871377644E-3</v>
      </c>
      <c r="AI116" s="100">
        <v>4.782478520048445E-3</v>
      </c>
      <c r="AJ116" s="100">
        <v>4.6866636344383957E-3</v>
      </c>
      <c r="AK116" s="100">
        <v>4.6485021471273456E-3</v>
      </c>
      <c r="AL116" s="100">
        <v>4.6297998083571533E-3</v>
      </c>
      <c r="AM116" s="100">
        <v>4.6228138776063009E-3</v>
      </c>
      <c r="AN116" s="100">
        <v>4.6264290902056351E-3</v>
      </c>
      <c r="AO116" s="100">
        <v>4.6320640699018829E-3</v>
      </c>
      <c r="AP116" s="100">
        <v>4.6352258450069565E-3</v>
      </c>
      <c r="AQ116" s="100">
        <v>4.6398028861359781E-3</v>
      </c>
      <c r="AR116" s="100">
        <v>4.6397960583749159E-3</v>
      </c>
    </row>
    <row r="117" spans="1:44">
      <c r="A117" s="39" t="s">
        <v>80</v>
      </c>
      <c r="B117" s="31">
        <v>0</v>
      </c>
      <c r="C117" s="31">
        <v>0</v>
      </c>
      <c r="D117" s="31">
        <v>0</v>
      </c>
      <c r="E117" s="31">
        <v>0</v>
      </c>
      <c r="F117" s="31">
        <v>0</v>
      </c>
      <c r="G117" s="31">
        <v>0</v>
      </c>
      <c r="H117" s="31">
        <v>0</v>
      </c>
      <c r="I117" s="31">
        <v>0</v>
      </c>
      <c r="J117" s="31">
        <v>0</v>
      </c>
      <c r="K117" s="31">
        <v>0</v>
      </c>
      <c r="L117" s="31">
        <v>0</v>
      </c>
      <c r="M117" s="31">
        <v>0</v>
      </c>
      <c r="N117" s="31">
        <v>0</v>
      </c>
      <c r="O117" s="31">
        <v>0</v>
      </c>
      <c r="P117" s="31">
        <v>0</v>
      </c>
      <c r="Q117" s="31">
        <v>0</v>
      </c>
      <c r="R117" s="31">
        <v>0</v>
      </c>
      <c r="S117" s="31">
        <v>0</v>
      </c>
      <c r="T117" s="31">
        <v>0</v>
      </c>
      <c r="U117" s="31">
        <v>0</v>
      </c>
      <c r="V117" s="31">
        <v>0</v>
      </c>
      <c r="W117" s="31">
        <v>0</v>
      </c>
      <c r="X117" s="31">
        <v>0</v>
      </c>
      <c r="Y117" s="31">
        <v>0</v>
      </c>
      <c r="Z117" s="31">
        <v>0</v>
      </c>
      <c r="AA117" s="31">
        <v>0</v>
      </c>
      <c r="AB117" s="31">
        <v>0</v>
      </c>
      <c r="AC117" s="31">
        <v>0</v>
      </c>
      <c r="AD117" s="31">
        <v>0</v>
      </c>
      <c r="AE117" s="31">
        <v>0</v>
      </c>
      <c r="AF117" s="31">
        <v>0</v>
      </c>
      <c r="AG117" s="31">
        <v>0</v>
      </c>
      <c r="AH117" s="31">
        <v>0</v>
      </c>
      <c r="AI117" s="100">
        <v>0</v>
      </c>
      <c r="AJ117" s="100">
        <v>0</v>
      </c>
      <c r="AK117" s="100">
        <v>0</v>
      </c>
      <c r="AL117" s="100">
        <v>0</v>
      </c>
      <c r="AM117" s="100">
        <v>0</v>
      </c>
      <c r="AN117" s="100">
        <v>0</v>
      </c>
      <c r="AO117" s="100">
        <v>0</v>
      </c>
      <c r="AP117" s="100">
        <v>0</v>
      </c>
      <c r="AQ117" s="100">
        <v>0</v>
      </c>
      <c r="AR117" s="100">
        <v>0</v>
      </c>
    </row>
    <row r="118" spans="1:44">
      <c r="A118" s="39" t="s">
        <v>81</v>
      </c>
      <c r="B118" s="31">
        <v>11.358968250282967</v>
      </c>
      <c r="C118" s="31">
        <v>12.601786748083374</v>
      </c>
      <c r="D118" s="31">
        <v>13.818448163464936</v>
      </c>
      <c r="E118" s="31">
        <v>14.927979555797712</v>
      </c>
      <c r="F118" s="31">
        <v>15.431005132931665</v>
      </c>
      <c r="G118" s="31">
        <v>15.990003550086392</v>
      </c>
      <c r="H118" s="31">
        <v>16.482029881478582</v>
      </c>
      <c r="I118" s="31">
        <v>17.212059295784112</v>
      </c>
      <c r="J118" s="31">
        <v>17.491141139528395</v>
      </c>
      <c r="K118" s="31">
        <v>17.623018537121649</v>
      </c>
      <c r="L118" s="31">
        <v>17.638337844365577</v>
      </c>
      <c r="M118" s="31">
        <v>18.048444905070866</v>
      </c>
      <c r="N118" s="31">
        <v>18.359133729217849</v>
      </c>
      <c r="O118" s="31">
        <v>18.579481327402846</v>
      </c>
      <c r="P118" s="31">
        <v>18.321863056700657</v>
      </c>
      <c r="Q118" s="31">
        <v>18.190240906874276</v>
      </c>
      <c r="R118" s="31">
        <v>17.938587423235507</v>
      </c>
      <c r="S118" s="31">
        <v>17.438168469790078</v>
      </c>
      <c r="T118" s="31">
        <v>16.67032861104455</v>
      </c>
      <c r="U118" s="31">
        <v>16.767290916116167</v>
      </c>
      <c r="V118" s="31">
        <v>17.387437237720114</v>
      </c>
      <c r="W118" s="31">
        <v>17.831303473021794</v>
      </c>
      <c r="X118" s="31">
        <v>17.378767589028996</v>
      </c>
      <c r="Y118" s="31">
        <v>17.554979091815852</v>
      </c>
      <c r="Z118" s="31">
        <v>17.531934788282108</v>
      </c>
      <c r="AA118" s="31">
        <v>17.849235350937434</v>
      </c>
      <c r="AB118" s="31">
        <v>18.11151006893412</v>
      </c>
      <c r="AC118" s="31">
        <v>18.0455108607526</v>
      </c>
      <c r="AD118" s="31">
        <v>17.940724471139863</v>
      </c>
      <c r="AE118" s="31">
        <v>17.784027962537877</v>
      </c>
      <c r="AF118" s="31">
        <v>15.722196578676469</v>
      </c>
      <c r="AG118" s="31">
        <v>17.629108107793126</v>
      </c>
      <c r="AH118" s="31">
        <v>17.444723852662438</v>
      </c>
      <c r="AI118" s="100">
        <v>17.167192138327302</v>
      </c>
      <c r="AJ118" s="100">
        <v>16.563780527596048</v>
      </c>
      <c r="AK118" s="100">
        <v>15.292521922268064</v>
      </c>
      <c r="AL118" s="100">
        <v>14.457061291061882</v>
      </c>
      <c r="AM118" s="100">
        <v>12.184406712341788</v>
      </c>
      <c r="AN118" s="100">
        <v>10.674849864072609</v>
      </c>
      <c r="AO118" s="100">
        <v>7.8067551056929911</v>
      </c>
      <c r="AP118" s="100">
        <v>5.8948462367445886</v>
      </c>
      <c r="AQ118" s="100">
        <v>2.4052413162202386</v>
      </c>
      <c r="AR118" s="100">
        <v>1.3750744495666092</v>
      </c>
    </row>
    <row r="119" spans="1:44">
      <c r="A119" s="39" t="s">
        <v>82</v>
      </c>
      <c r="B119" s="31">
        <v>7.3124577136840632</v>
      </c>
      <c r="C119" s="31">
        <v>6.9610591151466457</v>
      </c>
      <c r="D119" s="31">
        <v>6.3561457703060169</v>
      </c>
      <c r="E119" s="31">
        <v>5.5540352758005902</v>
      </c>
      <c r="F119" s="31">
        <v>5.1949029281378181</v>
      </c>
      <c r="G119" s="31">
        <v>4.4912741110228636</v>
      </c>
      <c r="H119" s="31">
        <v>4.2991669194112054</v>
      </c>
      <c r="I119" s="31">
        <v>4.1972525676206285</v>
      </c>
      <c r="J119" s="31">
        <v>4.0975384344372232</v>
      </c>
      <c r="K119" s="31">
        <v>3.9944263664235047</v>
      </c>
      <c r="L119" s="31">
        <v>3.4798210175871342</v>
      </c>
      <c r="M119" s="31">
        <v>3.3932154749169294</v>
      </c>
      <c r="N119" s="31">
        <v>3.2489036167170209</v>
      </c>
      <c r="O119" s="31">
        <v>3.1025865032727111</v>
      </c>
      <c r="P119" s="31">
        <v>3.1167692160435387</v>
      </c>
      <c r="Q119" s="31">
        <v>3.0292470916068153</v>
      </c>
      <c r="R119" s="31">
        <v>3.4391930040057099</v>
      </c>
      <c r="S119" s="31">
        <v>3.5953218511898486</v>
      </c>
      <c r="T119" s="31">
        <v>3.0771879822144403</v>
      </c>
      <c r="U119" s="31">
        <v>2.8606833307936097</v>
      </c>
      <c r="V119" s="31">
        <v>2.7972215353723859</v>
      </c>
      <c r="W119" s="31">
        <v>2.7549870954115194</v>
      </c>
      <c r="X119" s="31">
        <v>2.9079163435248825</v>
      </c>
      <c r="Y119" s="31">
        <v>2.8935772724123106</v>
      </c>
      <c r="Z119" s="31">
        <v>2.4937462554398242</v>
      </c>
      <c r="AA119" s="31">
        <v>2.7887987874783886</v>
      </c>
      <c r="AB119" s="31">
        <v>2.145885456414458</v>
      </c>
      <c r="AC119" s="31">
        <v>2.588798257043925</v>
      </c>
      <c r="AD119" s="31">
        <v>2.3634440307763076</v>
      </c>
      <c r="AE119" s="31">
        <v>2.4491390163185516</v>
      </c>
      <c r="AF119" s="31">
        <v>1.8443777460309521</v>
      </c>
      <c r="AG119" s="31">
        <v>2.2307943177725313</v>
      </c>
      <c r="AH119" s="31">
        <v>2.7065563394255436</v>
      </c>
      <c r="AI119" s="100">
        <v>2.7806574888459585</v>
      </c>
      <c r="AJ119" s="100">
        <v>2.9560358235364803</v>
      </c>
      <c r="AK119" s="100">
        <v>3.4208683616647528</v>
      </c>
      <c r="AL119" s="100">
        <v>3.7397268651138051</v>
      </c>
      <c r="AM119" s="100">
        <v>3.5140259870029573</v>
      </c>
      <c r="AN119" s="100">
        <v>3.3699590537790032</v>
      </c>
      <c r="AO119" s="100">
        <v>2.6437875961205122</v>
      </c>
      <c r="AP119" s="100">
        <v>2.1588694500511174</v>
      </c>
      <c r="AQ119" s="100">
        <v>1.1203616822565459</v>
      </c>
      <c r="AR119" s="100">
        <v>0.63917018969877792</v>
      </c>
    </row>
    <row r="120" spans="1:44">
      <c r="A120" s="39" t="s">
        <v>83</v>
      </c>
      <c r="B120" s="31">
        <v>9.8835738672058165E-2</v>
      </c>
      <c r="C120" s="31">
        <v>0.10045922565816501</v>
      </c>
      <c r="D120" s="31">
        <v>8.9145502092533066E-2</v>
      </c>
      <c r="E120" s="31">
        <v>7.9135832532219341E-2</v>
      </c>
      <c r="F120" s="31">
        <v>7.1139389736019826E-2</v>
      </c>
      <c r="G120" s="31">
        <v>6.0879027968349403E-2</v>
      </c>
      <c r="H120" s="31">
        <v>0.10372143259888716</v>
      </c>
      <c r="I120" s="31">
        <v>0.20299856615751971</v>
      </c>
      <c r="J120" s="31">
        <v>0.35756910778746015</v>
      </c>
      <c r="K120" s="31">
        <v>0.47979019981671123</v>
      </c>
      <c r="L120" s="31">
        <v>0.32534134230022438</v>
      </c>
      <c r="M120" s="31">
        <v>0.46826142851705121</v>
      </c>
      <c r="N120" s="31">
        <v>0.4144420173039125</v>
      </c>
      <c r="O120" s="31">
        <v>0.40377133686412053</v>
      </c>
      <c r="P120" s="31">
        <v>0.37057891142001892</v>
      </c>
      <c r="Q120" s="31">
        <v>0.29849344509309533</v>
      </c>
      <c r="R120" s="31">
        <v>0.28217128074454073</v>
      </c>
      <c r="S120" s="31">
        <v>0.27037098207911076</v>
      </c>
      <c r="T120" s="31">
        <v>0.26392023627843808</v>
      </c>
      <c r="U120" s="31">
        <v>0.23512725331744219</v>
      </c>
      <c r="V120" s="31">
        <v>0.27410916176786093</v>
      </c>
      <c r="W120" s="31">
        <v>0.26501841776331819</v>
      </c>
      <c r="X120" s="31">
        <v>0.24058376626913686</v>
      </c>
      <c r="Y120" s="31">
        <v>0.21141221216819503</v>
      </c>
      <c r="Z120" s="31">
        <v>0.2145702412699067</v>
      </c>
      <c r="AA120" s="31">
        <v>0.19030485511981951</v>
      </c>
      <c r="AB120" s="31">
        <v>0.17145714308689097</v>
      </c>
      <c r="AC120" s="31">
        <v>0.1519016813690183</v>
      </c>
      <c r="AD120" s="31">
        <v>0.13726182780424578</v>
      </c>
      <c r="AE120" s="31">
        <v>0.12579969813893571</v>
      </c>
      <c r="AF120" s="31">
        <v>8.9739360321973827E-2</v>
      </c>
      <c r="AG120" s="31">
        <v>0.11625096783958988</v>
      </c>
      <c r="AH120" s="31">
        <v>0.18892482884834086</v>
      </c>
      <c r="AI120" s="100">
        <v>0.12540127842257889</v>
      </c>
      <c r="AJ120" s="100">
        <v>0</v>
      </c>
      <c r="AK120" s="100">
        <v>0</v>
      </c>
      <c r="AL120" s="100">
        <v>0</v>
      </c>
      <c r="AM120" s="100">
        <v>0</v>
      </c>
      <c r="AN120" s="100">
        <v>0</v>
      </c>
      <c r="AO120" s="100">
        <v>0</v>
      </c>
      <c r="AP120" s="100">
        <v>0</v>
      </c>
      <c r="AQ120" s="100">
        <v>0</v>
      </c>
      <c r="AR120" s="100">
        <v>0</v>
      </c>
    </row>
    <row r="121" spans="1:44">
      <c r="A121" s="39" t="s">
        <v>84</v>
      </c>
      <c r="B121" s="31">
        <v>1.4447986094109401E-4</v>
      </c>
      <c r="C121" s="31">
        <v>1.7868381058704311E-4</v>
      </c>
      <c r="D121" s="31">
        <v>1.9837554586171015E-4</v>
      </c>
      <c r="E121" s="31">
        <v>1.3754735001465239E-3</v>
      </c>
      <c r="F121" s="31">
        <v>7.5470564528716988E-4</v>
      </c>
      <c r="G121" s="31">
        <v>4.2707790035376376E-4</v>
      </c>
      <c r="H121" s="31">
        <v>4.4368498252948915E-4</v>
      </c>
      <c r="I121" s="31">
        <v>2.9936789220177349E-4</v>
      </c>
      <c r="J121" s="31">
        <v>3.0108008216320648E-4</v>
      </c>
      <c r="K121" s="31">
        <v>2.7721285396160709E-4</v>
      </c>
      <c r="L121" s="31">
        <v>3.8326750599646463E-4</v>
      </c>
      <c r="M121" s="31">
        <v>4.4805558129823167E-3</v>
      </c>
      <c r="N121" s="31">
        <v>8.5494443742505782E-3</v>
      </c>
      <c r="O121" s="31">
        <v>9.299398821419648E-3</v>
      </c>
      <c r="P121" s="31">
        <v>1.008165692183312E-2</v>
      </c>
      <c r="Q121" s="31">
        <v>1.211710458858049E-2</v>
      </c>
      <c r="R121" s="31">
        <v>1.469063743601479E-2</v>
      </c>
      <c r="S121" s="31">
        <v>1.3109750776997064E-2</v>
      </c>
      <c r="T121" s="31">
        <v>1.6792406592367252E-2</v>
      </c>
      <c r="U121" s="31">
        <v>1.5367415347364802E-2</v>
      </c>
      <c r="V121" s="31">
        <v>1.5127277261960892E-2</v>
      </c>
      <c r="W121" s="31">
        <v>3.0130876227529982E-2</v>
      </c>
      <c r="X121" s="31">
        <v>3.2618387871558276E-2</v>
      </c>
      <c r="Y121" s="31">
        <v>3.4346996398017623E-2</v>
      </c>
      <c r="Z121" s="31">
        <v>2.771311583190585E-2</v>
      </c>
      <c r="AA121" s="31">
        <v>2.6748429849063976E-2</v>
      </c>
      <c r="AB121" s="31">
        <v>1.8938934674493153E-2</v>
      </c>
      <c r="AC121" s="31">
        <v>1.2688929799223017E-2</v>
      </c>
      <c r="AD121" s="31">
        <v>1.0364335679600496E-2</v>
      </c>
      <c r="AE121" s="31">
        <v>9.5460872795217304E-3</v>
      </c>
      <c r="AF121" s="31">
        <v>8.9160250900657406E-3</v>
      </c>
      <c r="AG121" s="31">
        <v>1.206690607144946E-2</v>
      </c>
      <c r="AH121" s="31">
        <v>1.3086441869802422E-2</v>
      </c>
      <c r="AI121" s="100">
        <v>1.2978164336915919E-2</v>
      </c>
      <c r="AJ121" s="100">
        <v>1.273173253598521E-2</v>
      </c>
      <c r="AK121" s="100">
        <v>1.2588636629813825E-2</v>
      </c>
      <c r="AL121" s="100">
        <v>1.2510923838161828E-2</v>
      </c>
      <c r="AM121" s="100">
        <v>1.2454574521138805E-2</v>
      </c>
      <c r="AN121" s="100">
        <v>1.2446130378532771E-2</v>
      </c>
      <c r="AO121" s="100">
        <v>1.2439396143730722E-2</v>
      </c>
      <c r="AP121" s="100">
        <v>1.2438311829660528E-2</v>
      </c>
      <c r="AQ121" s="100">
        <v>1.2439199240957322E-2</v>
      </c>
      <c r="AR121" s="100">
        <v>1.2439162965908574E-2</v>
      </c>
    </row>
    <row r="122" spans="1:44">
      <c r="A122" s="39" t="s">
        <v>85</v>
      </c>
      <c r="B122" s="31">
        <v>0</v>
      </c>
      <c r="C122" s="31">
        <v>0</v>
      </c>
      <c r="D122" s="31">
        <v>0</v>
      </c>
      <c r="E122" s="31">
        <v>0</v>
      </c>
      <c r="F122" s="31">
        <v>0</v>
      </c>
      <c r="G122" s="31">
        <v>0</v>
      </c>
      <c r="H122" s="31">
        <v>0</v>
      </c>
      <c r="I122" s="31">
        <v>0</v>
      </c>
      <c r="J122" s="31">
        <v>0</v>
      </c>
      <c r="K122" s="31">
        <v>0</v>
      </c>
      <c r="L122" s="31">
        <v>0</v>
      </c>
      <c r="M122" s="31">
        <v>0</v>
      </c>
      <c r="N122" s="31">
        <v>0</v>
      </c>
      <c r="O122" s="31">
        <v>0</v>
      </c>
      <c r="P122" s="31">
        <v>0</v>
      </c>
      <c r="Q122" s="31">
        <v>0</v>
      </c>
      <c r="R122" s="31">
        <v>0</v>
      </c>
      <c r="S122" s="31">
        <v>0</v>
      </c>
      <c r="T122" s="31">
        <v>0</v>
      </c>
      <c r="U122" s="31">
        <v>0</v>
      </c>
      <c r="V122" s="31">
        <v>0</v>
      </c>
      <c r="W122" s="31">
        <v>0</v>
      </c>
      <c r="X122" s="31">
        <v>0</v>
      </c>
      <c r="Y122" s="31">
        <v>0</v>
      </c>
      <c r="Z122" s="31">
        <v>0</v>
      </c>
      <c r="AA122" s="31">
        <v>0</v>
      </c>
      <c r="AB122" s="31">
        <v>0</v>
      </c>
      <c r="AC122" s="31">
        <v>0</v>
      </c>
      <c r="AD122" s="31">
        <v>0</v>
      </c>
      <c r="AE122" s="31">
        <v>0</v>
      </c>
      <c r="AF122" s="31">
        <v>0</v>
      </c>
      <c r="AG122" s="31">
        <v>0</v>
      </c>
      <c r="AH122" s="31">
        <v>0</v>
      </c>
      <c r="AI122" s="100">
        <v>0</v>
      </c>
      <c r="AJ122" s="100">
        <v>0</v>
      </c>
      <c r="AK122" s="100">
        <v>0</v>
      </c>
      <c r="AL122" s="100">
        <v>0</v>
      </c>
      <c r="AM122" s="100">
        <v>0</v>
      </c>
      <c r="AN122" s="100">
        <v>0</v>
      </c>
      <c r="AO122" s="100">
        <v>0</v>
      </c>
      <c r="AP122" s="100">
        <v>0</v>
      </c>
      <c r="AQ122" s="100">
        <v>0</v>
      </c>
      <c r="AR122" s="100">
        <v>0</v>
      </c>
    </row>
    <row r="123" spans="1:44">
      <c r="A123" s="39" t="s">
        <v>86</v>
      </c>
      <c r="B123" s="31">
        <v>26.587857363658447</v>
      </c>
      <c r="C123" s="31">
        <v>27.43530123298973</v>
      </c>
      <c r="D123" s="31">
        <v>28.618206128089604</v>
      </c>
      <c r="E123" s="31">
        <v>28.108044410756033</v>
      </c>
      <c r="F123" s="31">
        <v>28.920629481984591</v>
      </c>
      <c r="G123" s="31">
        <v>29.251935486657977</v>
      </c>
      <c r="H123" s="31">
        <v>29.425619066664535</v>
      </c>
      <c r="I123" s="31">
        <v>30.433996684766033</v>
      </c>
      <c r="J123" s="31">
        <v>30.797591854198153</v>
      </c>
      <c r="K123" s="31">
        <v>31.997189526695546</v>
      </c>
      <c r="L123" s="31">
        <v>32.15350452098334</v>
      </c>
      <c r="M123" s="31">
        <v>32.419610890229222</v>
      </c>
      <c r="N123" s="31">
        <v>32.629650762772279</v>
      </c>
      <c r="O123" s="31">
        <v>32.15690445148887</v>
      </c>
      <c r="P123" s="31">
        <v>33.375504015440647</v>
      </c>
      <c r="Q123" s="31">
        <v>33.147864158135263</v>
      </c>
      <c r="R123" s="31">
        <v>33.299556174554112</v>
      </c>
      <c r="S123" s="31">
        <v>32.98339659731468</v>
      </c>
      <c r="T123" s="31">
        <v>30.982299769448367</v>
      </c>
      <c r="U123" s="31">
        <v>29.545890175963866</v>
      </c>
      <c r="V123" s="31">
        <v>29.964522419774003</v>
      </c>
      <c r="W123" s="31">
        <v>30.738654967697862</v>
      </c>
      <c r="X123" s="31">
        <v>29.770039086182564</v>
      </c>
      <c r="Y123" s="31">
        <v>29.565999273108979</v>
      </c>
      <c r="Z123" s="31">
        <v>29.426322021645689</v>
      </c>
      <c r="AA123" s="31">
        <v>29.851933285732478</v>
      </c>
      <c r="AB123" s="31">
        <v>29.786334972442482</v>
      </c>
      <c r="AC123" s="31">
        <v>30.539582091801261</v>
      </c>
      <c r="AD123" s="31">
        <v>29.974684941399264</v>
      </c>
      <c r="AE123" s="31">
        <v>29.537603761101394</v>
      </c>
      <c r="AF123" s="31">
        <v>27.445454286462002</v>
      </c>
      <c r="AG123" s="31">
        <v>30.477291071994763</v>
      </c>
      <c r="AH123" s="31">
        <v>29.657074361754525</v>
      </c>
      <c r="AI123" s="105">
        <v>31.351782003835716</v>
      </c>
      <c r="AJ123" s="105">
        <v>30.786627705129689</v>
      </c>
      <c r="AK123" s="105">
        <v>28.390125483698544</v>
      </c>
      <c r="AL123" s="105">
        <v>26.768176643470326</v>
      </c>
      <c r="AM123" s="105">
        <v>24.858978043899604</v>
      </c>
      <c r="AN123" s="105">
        <v>23.593959825134206</v>
      </c>
      <c r="AO123" s="105">
        <v>22.664599653982563</v>
      </c>
      <c r="AP123" s="105">
        <v>22.05389627841398</v>
      </c>
      <c r="AQ123" s="105">
        <v>21.615393754246739</v>
      </c>
      <c r="AR123" s="105">
        <v>21.895251873956958</v>
      </c>
    </row>
    <row r="124" spans="1:44">
      <c r="A124" s="39" t="s">
        <v>87</v>
      </c>
      <c r="B124" s="31">
        <v>0</v>
      </c>
      <c r="C124" s="31">
        <v>0</v>
      </c>
      <c r="D124" s="31">
        <v>0</v>
      </c>
      <c r="E124" s="31">
        <v>0</v>
      </c>
      <c r="F124" s="31">
        <v>0</v>
      </c>
      <c r="G124" s="31">
        <v>0</v>
      </c>
      <c r="H124" s="31">
        <v>0</v>
      </c>
      <c r="I124" s="31">
        <v>0</v>
      </c>
      <c r="J124" s="31">
        <v>0</v>
      </c>
      <c r="K124" s="31">
        <v>0</v>
      </c>
      <c r="L124" s="31">
        <v>0</v>
      </c>
      <c r="M124" s="31">
        <v>0</v>
      </c>
      <c r="N124" s="31">
        <v>0</v>
      </c>
      <c r="O124" s="31">
        <v>0</v>
      </c>
      <c r="P124" s="31">
        <v>0</v>
      </c>
      <c r="Q124" s="31">
        <v>0</v>
      </c>
      <c r="R124" s="31">
        <v>0</v>
      </c>
      <c r="S124" s="31">
        <v>0</v>
      </c>
      <c r="T124" s="31">
        <v>0</v>
      </c>
      <c r="U124" s="31">
        <v>0</v>
      </c>
      <c r="V124" s="31">
        <v>0</v>
      </c>
      <c r="W124" s="31">
        <v>0</v>
      </c>
      <c r="X124" s="31">
        <v>0</v>
      </c>
      <c r="Y124" s="31">
        <v>0</v>
      </c>
      <c r="Z124" s="31">
        <v>0</v>
      </c>
      <c r="AA124" s="31">
        <v>0</v>
      </c>
      <c r="AB124" s="31">
        <v>0</v>
      </c>
      <c r="AC124" s="31">
        <v>0</v>
      </c>
      <c r="AD124" s="31">
        <v>0</v>
      </c>
      <c r="AE124" s="31">
        <v>0</v>
      </c>
      <c r="AF124" s="31">
        <v>0</v>
      </c>
      <c r="AG124" s="31">
        <v>0</v>
      </c>
      <c r="AH124" s="31">
        <v>0</v>
      </c>
      <c r="AI124" s="100">
        <v>7.6662492103589093E-4</v>
      </c>
      <c r="AJ124" s="100">
        <v>0</v>
      </c>
      <c r="AK124" s="100">
        <v>0</v>
      </c>
      <c r="AL124" s="100">
        <v>0</v>
      </c>
      <c r="AM124" s="100">
        <v>0</v>
      </c>
      <c r="AN124" s="100">
        <v>0</v>
      </c>
      <c r="AO124" s="100">
        <v>0</v>
      </c>
      <c r="AP124" s="100">
        <v>0</v>
      </c>
      <c r="AQ124" s="100">
        <v>0</v>
      </c>
      <c r="AR124" s="100">
        <v>0</v>
      </c>
    </row>
    <row r="125" spans="1:44">
      <c r="A125" s="39" t="s">
        <v>88</v>
      </c>
      <c r="B125" s="31">
        <v>0</v>
      </c>
      <c r="C125" s="31">
        <v>0</v>
      </c>
      <c r="D125" s="31">
        <v>0</v>
      </c>
      <c r="E125" s="31">
        <v>0</v>
      </c>
      <c r="F125" s="31">
        <v>0</v>
      </c>
      <c r="G125" s="31">
        <v>0</v>
      </c>
      <c r="H125" s="31">
        <v>0</v>
      </c>
      <c r="I125" s="31">
        <v>0</v>
      </c>
      <c r="J125" s="31">
        <v>0</v>
      </c>
      <c r="K125" s="31">
        <v>0</v>
      </c>
      <c r="L125" s="31">
        <v>0</v>
      </c>
      <c r="M125" s="31">
        <v>0</v>
      </c>
      <c r="N125" s="31">
        <v>0</v>
      </c>
      <c r="O125" s="31">
        <v>0</v>
      </c>
      <c r="P125" s="31">
        <v>0</v>
      </c>
      <c r="Q125" s="31">
        <v>0</v>
      </c>
      <c r="R125" s="31">
        <v>0</v>
      </c>
      <c r="S125" s="31">
        <v>0</v>
      </c>
      <c r="T125" s="31">
        <v>0</v>
      </c>
      <c r="U125" s="31">
        <v>0</v>
      </c>
      <c r="V125" s="31">
        <v>0</v>
      </c>
      <c r="W125" s="31">
        <v>0</v>
      </c>
      <c r="X125" s="31">
        <v>0</v>
      </c>
      <c r="Y125" s="31">
        <v>0</v>
      </c>
      <c r="Z125" s="31">
        <v>0</v>
      </c>
      <c r="AA125" s="31">
        <v>0</v>
      </c>
      <c r="AB125" s="31">
        <v>0</v>
      </c>
      <c r="AC125" s="31">
        <v>0</v>
      </c>
      <c r="AD125" s="31">
        <v>0</v>
      </c>
      <c r="AE125" s="31">
        <v>0</v>
      </c>
      <c r="AF125" s="31">
        <v>0</v>
      </c>
      <c r="AG125" s="31">
        <v>0</v>
      </c>
      <c r="AH125" s="31">
        <v>0</v>
      </c>
      <c r="AI125" s="92">
        <v>0.82879319260377327</v>
      </c>
      <c r="AJ125" s="92">
        <v>1.008425351247348</v>
      </c>
      <c r="AK125" s="92">
        <v>1.3705946128626996</v>
      </c>
      <c r="AL125" s="92">
        <v>1.6120808100157085</v>
      </c>
      <c r="AM125" s="92">
        <v>1.7822876413162896</v>
      </c>
      <c r="AN125" s="92">
        <v>1.8958092667615705</v>
      </c>
      <c r="AO125" s="92">
        <v>1.9297448601314047</v>
      </c>
      <c r="AP125" s="92">
        <v>1.952372621173079</v>
      </c>
      <c r="AQ125" s="92">
        <v>1.9927448463410966</v>
      </c>
      <c r="AR125" s="92">
        <v>2.0322574855063444</v>
      </c>
    </row>
    <row r="126" spans="1:44">
      <c r="A126" s="39" t="s">
        <v>89</v>
      </c>
      <c r="B126" s="31">
        <v>0</v>
      </c>
      <c r="C126" s="31">
        <v>0</v>
      </c>
      <c r="D126" s="31">
        <v>0</v>
      </c>
      <c r="E126" s="31">
        <v>0</v>
      </c>
      <c r="F126" s="31">
        <v>0</v>
      </c>
      <c r="G126" s="31">
        <v>0</v>
      </c>
      <c r="H126" s="31">
        <v>0</v>
      </c>
      <c r="I126" s="31">
        <v>0</v>
      </c>
      <c r="J126" s="31">
        <v>0</v>
      </c>
      <c r="K126" s="31">
        <v>0</v>
      </c>
      <c r="L126" s="31">
        <v>0</v>
      </c>
      <c r="M126" s="31">
        <v>0</v>
      </c>
      <c r="N126" s="31">
        <v>0</v>
      </c>
      <c r="O126" s="31">
        <v>0</v>
      </c>
      <c r="P126" s="31">
        <v>0</v>
      </c>
      <c r="Q126" s="31">
        <v>0</v>
      </c>
      <c r="R126" s="31">
        <v>0</v>
      </c>
      <c r="S126" s="31">
        <v>0</v>
      </c>
      <c r="T126" s="31">
        <v>0</v>
      </c>
      <c r="U126" s="31">
        <v>0</v>
      </c>
      <c r="V126" s="31">
        <v>0</v>
      </c>
      <c r="W126" s="31">
        <v>0</v>
      </c>
      <c r="X126" s="31">
        <v>0</v>
      </c>
      <c r="Y126" s="31">
        <v>0</v>
      </c>
      <c r="Z126" s="31">
        <v>0</v>
      </c>
      <c r="AA126" s="31">
        <v>0</v>
      </c>
      <c r="AB126" s="31">
        <v>0</v>
      </c>
      <c r="AC126" s="31">
        <v>0</v>
      </c>
      <c r="AD126" s="31">
        <v>0</v>
      </c>
      <c r="AE126" s="31">
        <v>0</v>
      </c>
      <c r="AF126" s="31">
        <v>0</v>
      </c>
      <c r="AG126" s="31">
        <v>0</v>
      </c>
      <c r="AH126" s="31">
        <v>0</v>
      </c>
      <c r="AI126" s="31">
        <v>0</v>
      </c>
      <c r="AJ126" s="31">
        <v>0</v>
      </c>
      <c r="AK126" s="31">
        <v>0</v>
      </c>
      <c r="AL126" s="31">
        <v>0</v>
      </c>
      <c r="AM126" s="31">
        <v>0</v>
      </c>
      <c r="AN126" s="31">
        <v>0</v>
      </c>
      <c r="AO126" s="31">
        <v>0</v>
      </c>
      <c r="AP126" s="31">
        <v>0</v>
      </c>
      <c r="AQ126" s="31">
        <v>0</v>
      </c>
      <c r="AR126" s="31">
        <v>0</v>
      </c>
    </row>
    <row r="127" spans="1:44">
      <c r="A127" s="39" t="s">
        <v>90</v>
      </c>
      <c r="B127" s="31">
        <v>1.9837830043830047</v>
      </c>
      <c r="C127" s="31">
        <v>2.1291160172189239</v>
      </c>
      <c r="D127" s="31">
        <v>2.1666035914664801</v>
      </c>
      <c r="E127" s="31">
        <v>2.2626498531533397</v>
      </c>
      <c r="F127" s="31">
        <v>2.2496371546819094</v>
      </c>
      <c r="G127" s="31">
        <v>2.2017902902729607</v>
      </c>
      <c r="H127" s="31">
        <v>2.2478806910724121</v>
      </c>
      <c r="I127" s="31">
        <v>2.3048543974203191</v>
      </c>
      <c r="J127" s="31">
        <v>2.3093173670865919</v>
      </c>
      <c r="K127" s="31">
        <v>2.2086333096355601</v>
      </c>
      <c r="L127" s="31">
        <v>2.2613825513007333</v>
      </c>
      <c r="M127" s="31">
        <v>2.222343220038554</v>
      </c>
      <c r="N127" s="31">
        <v>2.2059908875190337</v>
      </c>
      <c r="O127" s="31">
        <v>2.2452413741232502</v>
      </c>
      <c r="P127" s="31">
        <v>2.2786611508391572</v>
      </c>
      <c r="Q127" s="31">
        <v>2.3268462959276244</v>
      </c>
      <c r="R127" s="31">
        <v>2.3601081907007702</v>
      </c>
      <c r="S127" s="31">
        <v>2.4050384123915434</v>
      </c>
      <c r="T127" s="31">
        <v>2.4272872534643346</v>
      </c>
      <c r="U127" s="31">
        <v>2.4296578931432022</v>
      </c>
      <c r="V127" s="31">
        <v>2.4865169700584469</v>
      </c>
      <c r="W127" s="31">
        <v>2.5086847353167281</v>
      </c>
      <c r="X127" s="31">
        <v>2.4983404182961242</v>
      </c>
      <c r="Y127" s="31">
        <v>2.5543258907117106</v>
      </c>
      <c r="Z127" s="31">
        <v>2.5362158531038554</v>
      </c>
      <c r="AA127" s="31">
        <v>2.5835410942646178</v>
      </c>
      <c r="AB127" s="31">
        <v>2.5813142224575456</v>
      </c>
      <c r="AC127" s="31">
        <v>2.512662187257154</v>
      </c>
      <c r="AD127" s="31">
        <v>2.464063925133047</v>
      </c>
      <c r="AE127" s="94">
        <v>2.4127647887209274</v>
      </c>
      <c r="AF127" s="31">
        <v>1.7216411190614302</v>
      </c>
      <c r="AG127" s="31">
        <v>2.0381536722724385</v>
      </c>
      <c r="AH127" s="31">
        <v>2.1048273306574448</v>
      </c>
      <c r="AI127" s="92">
        <v>3.3876974847785839E-2</v>
      </c>
      <c r="AJ127" s="92">
        <v>2.3781747684106277E-2</v>
      </c>
      <c r="AK127" s="92">
        <v>9.606787111035426E-3</v>
      </c>
      <c r="AL127" s="92">
        <v>5.4805047648941617E-3</v>
      </c>
      <c r="AM127" s="92">
        <v>2.0155787002494796E-3</v>
      </c>
      <c r="AN127" s="92">
        <v>8.893377523883255E-4</v>
      </c>
      <c r="AO127" s="92">
        <v>2.2536658204496123E-4</v>
      </c>
      <c r="AP127" s="92">
        <v>6.1020116589950702E-5</v>
      </c>
      <c r="AQ127" s="92">
        <v>0</v>
      </c>
      <c r="AR127" s="92">
        <v>0</v>
      </c>
    </row>
    <row r="128" spans="1:44">
      <c r="A128" s="39" t="s">
        <v>91</v>
      </c>
      <c r="B128" s="31">
        <v>5.3193270295406464E-3</v>
      </c>
      <c r="C128" s="31">
        <v>5.3597451076349816E-3</v>
      </c>
      <c r="D128" s="31">
        <v>6.321357465189666E-3</v>
      </c>
      <c r="E128" s="31">
        <v>6.1873271567534881E-3</v>
      </c>
      <c r="F128" s="31">
        <v>6.0604613729364999E-3</v>
      </c>
      <c r="G128" s="31">
        <v>5.9426365208978685E-3</v>
      </c>
      <c r="H128" s="31">
        <v>5.7956575116677178E-3</v>
      </c>
      <c r="I128" s="31">
        <v>5.7607226198469986E-3</v>
      </c>
      <c r="J128" s="31">
        <v>5.9433722442750903E-3</v>
      </c>
      <c r="K128" s="31">
        <v>6.7166918389939554E-3</v>
      </c>
      <c r="L128" s="31">
        <v>7.049968723605261E-3</v>
      </c>
      <c r="M128" s="31">
        <v>7.2162515824945109E-3</v>
      </c>
      <c r="N128" s="31">
        <v>6.4629554330878792E-3</v>
      </c>
      <c r="O128" s="31">
        <v>5.7203782888989212E-3</v>
      </c>
      <c r="P128" s="31">
        <v>5.0054376649822799E-3</v>
      </c>
      <c r="Q128" s="31">
        <v>4.239602084380031E-3</v>
      </c>
      <c r="R128" s="31">
        <v>3.4223668248280926E-3</v>
      </c>
      <c r="S128" s="31">
        <v>2.607573344108334E-3</v>
      </c>
      <c r="T128" s="31">
        <v>1.8370479405615801E-3</v>
      </c>
      <c r="U128" s="31">
        <v>1.1828922722856247E-3</v>
      </c>
      <c r="V128" s="31">
        <v>6.1121460426232703E-4</v>
      </c>
      <c r="W128" s="31">
        <v>3.5454108197843938E-4</v>
      </c>
      <c r="X128" s="31">
        <v>3.4205709007363594E-4</v>
      </c>
      <c r="Y128" s="31">
        <v>3.2978913192972678E-4</v>
      </c>
      <c r="Z128" s="31">
        <v>3.0966875871291224E-4</v>
      </c>
      <c r="AA128" s="31">
        <v>2.8856006214413298E-4</v>
      </c>
      <c r="AB128" s="31">
        <v>2.6448686044043925E-4</v>
      </c>
      <c r="AC128" s="31">
        <v>2.6386202677418266E-4</v>
      </c>
      <c r="AD128" s="31">
        <v>2.9757379798933258E-4</v>
      </c>
      <c r="AE128" s="31">
        <v>3.6362405459319786E-4</v>
      </c>
      <c r="AF128" s="31">
        <v>3.764023149684101E-4</v>
      </c>
      <c r="AG128" s="31">
        <v>5.0382772760883049E-4</v>
      </c>
      <c r="AH128" s="31">
        <v>1.2739780974419575E-3</v>
      </c>
      <c r="AI128" s="92">
        <v>1.381161225308822E-4</v>
      </c>
      <c r="AJ128" s="92">
        <v>2.2987198037935248E-5</v>
      </c>
      <c r="AK128" s="92">
        <v>0</v>
      </c>
      <c r="AL128" s="92">
        <v>0</v>
      </c>
      <c r="AM128" s="92">
        <v>0</v>
      </c>
      <c r="AN128" s="92">
        <v>0</v>
      </c>
      <c r="AO128" s="92">
        <v>0</v>
      </c>
      <c r="AP128" s="92">
        <v>0</v>
      </c>
      <c r="AQ128" s="92">
        <v>0</v>
      </c>
      <c r="AR128" s="92">
        <v>0</v>
      </c>
    </row>
    <row r="129" spans="1:44">
      <c r="A129" s="39" t="s">
        <v>92</v>
      </c>
      <c r="B129" s="31">
        <v>2.9352014512373635E-4</v>
      </c>
      <c r="C129" s="31">
        <v>2.8335618499965119E-4</v>
      </c>
      <c r="D129" s="31">
        <v>2.7272623962603618E-4</v>
      </c>
      <c r="E129" s="31">
        <v>2.0034883084878189E-3</v>
      </c>
      <c r="F129" s="31">
        <v>1.1702224219321997E-3</v>
      </c>
      <c r="G129" s="31">
        <v>7.6621931971060787E-4</v>
      </c>
      <c r="H129" s="31">
        <v>7.5401970283917605E-4</v>
      </c>
      <c r="I129" s="31">
        <v>5.9942174521695015E-4</v>
      </c>
      <c r="J129" s="31">
        <v>5.9855317631476123E-4</v>
      </c>
      <c r="K129" s="31">
        <v>6.0873821775322284E-4</v>
      </c>
      <c r="L129" s="31">
        <v>1.2958412873683757E-3</v>
      </c>
      <c r="M129" s="31">
        <v>1.8233144148933293E-2</v>
      </c>
      <c r="N129" s="31">
        <v>1.835454564166995E-2</v>
      </c>
      <c r="O129" s="31">
        <v>2.8653447154092678E-2</v>
      </c>
      <c r="P129" s="31">
        <v>3.2576798106884332E-2</v>
      </c>
      <c r="Q129" s="31">
        <v>3.3732417454926666E-2</v>
      </c>
      <c r="R129" s="31">
        <v>4.5510086545027646E-2</v>
      </c>
      <c r="S129" s="31">
        <v>5.5209898202058696E-2</v>
      </c>
      <c r="T129" s="31">
        <v>6.677438970996781E-2</v>
      </c>
      <c r="U129" s="31">
        <v>6.6871393295131337E-2</v>
      </c>
      <c r="V129" s="31">
        <v>7.0695248915425044E-2</v>
      </c>
      <c r="W129" s="31">
        <v>0.15872526741986739</v>
      </c>
      <c r="X129" s="31">
        <v>0.17633640273603138</v>
      </c>
      <c r="Y129" s="31">
        <v>0.19716702785550824</v>
      </c>
      <c r="Z129" s="31">
        <v>0.22841153290357918</v>
      </c>
      <c r="AA129" s="31">
        <v>0.24132670847838633</v>
      </c>
      <c r="AB129" s="31">
        <v>0.26549366586685991</v>
      </c>
      <c r="AC129" s="31">
        <v>0.29808059504945572</v>
      </c>
      <c r="AD129" s="31">
        <v>0.35396720000394133</v>
      </c>
      <c r="AE129" s="31">
        <v>0.43383531191383246</v>
      </c>
      <c r="AF129" s="31">
        <v>0.52537356596987173</v>
      </c>
      <c r="AG129" s="31">
        <v>0.71742660994040974</v>
      </c>
      <c r="AH129" s="31">
        <v>0.81836654292415667</v>
      </c>
      <c r="AI129" s="92">
        <v>7.5337039005465706E-2</v>
      </c>
      <c r="AJ129" s="92">
        <v>7.0294616219043912E-2</v>
      </c>
      <c r="AK129" s="92">
        <v>5.9885149834714435E-2</v>
      </c>
      <c r="AL129" s="92">
        <v>4.8465536114454491E-2</v>
      </c>
      <c r="AM129" s="92">
        <v>3.0819991124313335E-2</v>
      </c>
      <c r="AN129" s="92">
        <v>1.8837851161468976E-2</v>
      </c>
      <c r="AO129" s="92">
        <v>6.4516148973943286E-3</v>
      </c>
      <c r="AP129" s="92">
        <v>2.1031952744052329E-3</v>
      </c>
      <c r="AQ129" s="92">
        <v>0</v>
      </c>
      <c r="AR129" s="92">
        <v>0</v>
      </c>
    </row>
    <row r="130" spans="1:44">
      <c r="A130" s="39" t="s">
        <v>93</v>
      </c>
      <c r="B130" s="31">
        <v>0</v>
      </c>
      <c r="C130" s="31">
        <v>0</v>
      </c>
      <c r="D130" s="31">
        <v>0</v>
      </c>
      <c r="E130" s="31">
        <v>0</v>
      </c>
      <c r="F130" s="31">
        <v>0</v>
      </c>
      <c r="G130" s="31">
        <v>0</v>
      </c>
      <c r="H130" s="31">
        <v>0</v>
      </c>
      <c r="I130" s="31">
        <v>0</v>
      </c>
      <c r="J130" s="31">
        <v>0</v>
      </c>
      <c r="K130" s="31">
        <v>0</v>
      </c>
      <c r="L130" s="31">
        <v>0</v>
      </c>
      <c r="M130" s="31">
        <v>0</v>
      </c>
      <c r="N130" s="31">
        <v>0</v>
      </c>
      <c r="O130" s="31">
        <v>0</v>
      </c>
      <c r="P130" s="31">
        <v>0</v>
      </c>
      <c r="Q130" s="31">
        <v>0</v>
      </c>
      <c r="R130" s="31">
        <v>0</v>
      </c>
      <c r="S130" s="31">
        <v>0</v>
      </c>
      <c r="T130" s="31">
        <v>0</v>
      </c>
      <c r="U130" s="31">
        <v>0</v>
      </c>
      <c r="V130" s="31">
        <v>0</v>
      </c>
      <c r="W130" s="31">
        <v>0</v>
      </c>
      <c r="X130" s="31">
        <v>0</v>
      </c>
      <c r="Y130" s="31">
        <v>0</v>
      </c>
      <c r="Z130" s="31">
        <v>0</v>
      </c>
      <c r="AA130" s="31">
        <v>0</v>
      </c>
      <c r="AB130" s="31">
        <v>0</v>
      </c>
      <c r="AC130" s="31">
        <v>0</v>
      </c>
      <c r="AD130" s="31">
        <v>0</v>
      </c>
      <c r="AE130" s="31">
        <v>0</v>
      </c>
      <c r="AF130" s="31">
        <v>0</v>
      </c>
      <c r="AG130" s="31">
        <v>0</v>
      </c>
      <c r="AH130" s="31">
        <v>0</v>
      </c>
      <c r="AI130" s="92">
        <v>0</v>
      </c>
      <c r="AJ130" s="92">
        <v>0</v>
      </c>
      <c r="AK130" s="92">
        <v>0</v>
      </c>
      <c r="AL130" s="92">
        <v>0</v>
      </c>
      <c r="AM130" s="92">
        <v>0</v>
      </c>
      <c r="AN130" s="92">
        <v>0</v>
      </c>
      <c r="AO130" s="92">
        <v>0</v>
      </c>
      <c r="AP130" s="92">
        <v>0</v>
      </c>
      <c r="AQ130" s="92">
        <v>0</v>
      </c>
      <c r="AR130" s="92">
        <v>0</v>
      </c>
    </row>
    <row r="131" spans="1:44">
      <c r="A131" s="39" t="s">
        <v>94</v>
      </c>
      <c r="B131" s="31">
        <v>0.65953090125347325</v>
      </c>
      <c r="C131" s="31">
        <v>0.66340654648409114</v>
      </c>
      <c r="D131" s="31">
        <v>0.68158798180856683</v>
      </c>
      <c r="E131" s="31">
        <v>0.85252850228663046</v>
      </c>
      <c r="F131" s="31">
        <v>0.749894050666013</v>
      </c>
      <c r="G131" s="31">
        <v>0.65735704057952671</v>
      </c>
      <c r="H131" s="31">
        <v>0.65807512655225553</v>
      </c>
      <c r="I131" s="31">
        <v>0.79275991560907166</v>
      </c>
      <c r="J131" s="31">
        <v>0.97110584810472889</v>
      </c>
      <c r="K131" s="31">
        <v>0.99467370972390701</v>
      </c>
      <c r="L131" s="31">
        <v>1.0710874632644891</v>
      </c>
      <c r="M131" s="31">
        <v>1.1432336324288923</v>
      </c>
      <c r="N131" s="31">
        <v>1.2318127130168539</v>
      </c>
      <c r="O131" s="31">
        <v>1.2099079965394608</v>
      </c>
      <c r="P131" s="31">
        <v>1.2655557372766235</v>
      </c>
      <c r="Q131" s="31">
        <v>1.2689681663229835</v>
      </c>
      <c r="R131" s="31">
        <v>1.2423190226777512</v>
      </c>
      <c r="S131" s="31">
        <v>1.2438814305357464</v>
      </c>
      <c r="T131" s="31">
        <v>1.2581725958327805</v>
      </c>
      <c r="U131" s="31">
        <v>1.307601659729545</v>
      </c>
      <c r="V131" s="31">
        <v>1.2828292538596204</v>
      </c>
      <c r="W131" s="31">
        <v>1.2958396250263207</v>
      </c>
      <c r="X131" s="31">
        <v>1.2816271856367238</v>
      </c>
      <c r="Y131" s="31">
        <v>1.2783931943662366</v>
      </c>
      <c r="Z131" s="31">
        <v>1.2795881894498806</v>
      </c>
      <c r="AA131" s="31">
        <v>1.2858883194659521</v>
      </c>
      <c r="AB131" s="31">
        <v>1.2924822881401983</v>
      </c>
      <c r="AC131" s="31">
        <v>1.2885607461201189</v>
      </c>
      <c r="AD131" s="31">
        <v>1.2851259334850587</v>
      </c>
      <c r="AE131" s="31">
        <v>1.2851805826223093</v>
      </c>
      <c r="AF131" s="31">
        <v>1.0800772997468064</v>
      </c>
      <c r="AG131" s="31">
        <v>1.1025705691967798</v>
      </c>
      <c r="AH131" s="31">
        <v>1.2278201648074245</v>
      </c>
      <c r="AI131" s="100">
        <v>1.227752548552641</v>
      </c>
      <c r="AJ131" s="100">
        <v>1.2093013661276639</v>
      </c>
      <c r="AK131" s="100">
        <v>1.1968335079979004</v>
      </c>
      <c r="AL131" s="100">
        <v>1.1884470034600765</v>
      </c>
      <c r="AM131" s="100">
        <v>1.1844226167919731</v>
      </c>
      <c r="AN131" s="100">
        <v>1.1817278486082423</v>
      </c>
      <c r="AO131" s="100">
        <v>1.1771715600219581</v>
      </c>
      <c r="AP131" s="100">
        <v>1.1741380055389414</v>
      </c>
      <c r="AQ131" s="100">
        <v>1.1543977663221612</v>
      </c>
      <c r="AR131" s="100">
        <v>1.1519989132539625</v>
      </c>
    </row>
    <row r="132" spans="1:44">
      <c r="A132" s="39" t="s">
        <v>95</v>
      </c>
      <c r="B132" s="31">
        <v>0</v>
      </c>
      <c r="C132" s="31">
        <v>0</v>
      </c>
      <c r="D132" s="31">
        <v>5.8530696459050038E-3</v>
      </c>
      <c r="E132" s="31">
        <v>1.6280719315120939E-2</v>
      </c>
      <c r="F132" s="31">
        <v>2.5023062046095775E-2</v>
      </c>
      <c r="G132" s="31">
        <v>3.4309904365871065E-2</v>
      </c>
      <c r="H132" s="31">
        <v>4.3135423310796894E-2</v>
      </c>
      <c r="I132" s="31">
        <v>5.1701902984576706E-2</v>
      </c>
      <c r="J132" s="31">
        <v>5.7172516173250448E-2</v>
      </c>
      <c r="K132" s="31">
        <v>6.0688219909269363E-2</v>
      </c>
      <c r="L132" s="31">
        <v>6.2029598125434876E-2</v>
      </c>
      <c r="M132" s="31">
        <v>6.348036556070312E-2</v>
      </c>
      <c r="N132" s="31">
        <v>6.4136185312010693E-2</v>
      </c>
      <c r="O132" s="31">
        <v>6.3977930163230529E-2</v>
      </c>
      <c r="P132" s="31">
        <v>6.1999862424082751E-2</v>
      </c>
      <c r="Q132" s="31">
        <v>5.9616101149553624E-2</v>
      </c>
      <c r="R132" s="31">
        <v>5.799875239770523E-2</v>
      </c>
      <c r="S132" s="31">
        <v>5.7161405439597614E-2</v>
      </c>
      <c r="T132" s="31">
        <v>5.8009707497895996E-2</v>
      </c>
      <c r="U132" s="31">
        <v>6.1625214402486174E-2</v>
      </c>
      <c r="V132" s="31">
        <v>6.7836337586350173E-2</v>
      </c>
      <c r="W132" s="31">
        <v>7.4249962460657543E-2</v>
      </c>
      <c r="X132" s="31">
        <v>7.8336355304181773E-2</v>
      </c>
      <c r="Y132" s="31">
        <v>7.8252723033462562E-2</v>
      </c>
      <c r="Z132" s="31">
        <v>7.6776919622967857E-2</v>
      </c>
      <c r="AA132" s="31">
        <v>7.583561845812585E-2</v>
      </c>
      <c r="AB132" s="31">
        <v>7.17352957256987E-2</v>
      </c>
      <c r="AC132" s="31">
        <v>7.3933920656743105E-2</v>
      </c>
      <c r="AD132" s="31">
        <v>8.2168834346731778E-2</v>
      </c>
      <c r="AE132" s="31">
        <v>8.7377618435917154E-2</v>
      </c>
      <c r="AF132" s="31">
        <v>8.7299658407939532E-2</v>
      </c>
      <c r="AG132" s="31">
        <v>9.1354208350455254E-2</v>
      </c>
      <c r="AH132" s="31">
        <v>9.9755848862832508E-2</v>
      </c>
      <c r="AI132" s="100">
        <v>9.912457171568663E-2</v>
      </c>
      <c r="AJ132" s="100">
        <v>9.7946824176803809E-2</v>
      </c>
      <c r="AK132" s="100">
        <v>9.7169143260379981E-2</v>
      </c>
      <c r="AL132" s="100">
        <v>9.6654455905153105E-2</v>
      </c>
      <c r="AM132" s="100">
        <v>9.6631074613561505E-2</v>
      </c>
      <c r="AN132" s="100">
        <v>9.6616107606885687E-2</v>
      </c>
      <c r="AO132" s="100">
        <v>9.6616062295168822E-2</v>
      </c>
      <c r="AP132" s="100">
        <v>9.6616062492227123E-2</v>
      </c>
      <c r="AQ132" s="100">
        <v>9.4299099746964599E-2</v>
      </c>
      <c r="AR132" s="100">
        <v>9.4299099566604094E-2</v>
      </c>
    </row>
    <row r="133" spans="1:44">
      <c r="A133" s="39" t="s">
        <v>96</v>
      </c>
      <c r="B133" s="31">
        <v>0</v>
      </c>
      <c r="C133" s="31">
        <v>0</v>
      </c>
      <c r="D133" s="31">
        <v>0</v>
      </c>
      <c r="E133" s="31">
        <v>0</v>
      </c>
      <c r="F133" s="31">
        <v>0</v>
      </c>
      <c r="G133" s="31">
        <v>0</v>
      </c>
      <c r="H133" s="31">
        <v>0</v>
      </c>
      <c r="I133" s="31">
        <v>0</v>
      </c>
      <c r="J133" s="31">
        <v>0</v>
      </c>
      <c r="K133" s="31">
        <v>0</v>
      </c>
      <c r="L133" s="31">
        <v>0</v>
      </c>
      <c r="M133" s="31">
        <v>0</v>
      </c>
      <c r="N133" s="31">
        <v>0</v>
      </c>
      <c r="O133" s="31">
        <v>0</v>
      </c>
      <c r="P133" s="31">
        <v>0</v>
      </c>
      <c r="Q133" s="31">
        <v>0</v>
      </c>
      <c r="R133" s="31">
        <v>0</v>
      </c>
      <c r="S133" s="31">
        <v>0</v>
      </c>
      <c r="T133" s="31">
        <v>0</v>
      </c>
      <c r="U133" s="31">
        <v>0</v>
      </c>
      <c r="V133" s="31">
        <v>0</v>
      </c>
      <c r="W133" s="31">
        <v>0</v>
      </c>
      <c r="X133" s="31">
        <v>0</v>
      </c>
      <c r="Y133" s="31">
        <v>0</v>
      </c>
      <c r="Z133" s="31">
        <v>0</v>
      </c>
      <c r="AA133" s="31">
        <v>0</v>
      </c>
      <c r="AB133" s="31">
        <v>0</v>
      </c>
      <c r="AC133" s="31">
        <v>0</v>
      </c>
      <c r="AD133" s="31">
        <v>0</v>
      </c>
      <c r="AE133" s="31">
        <v>0</v>
      </c>
      <c r="AF133" s="31">
        <v>0</v>
      </c>
      <c r="AG133" s="31">
        <v>0</v>
      </c>
      <c r="AH133" s="31">
        <v>0</v>
      </c>
      <c r="AI133" s="100">
        <v>0</v>
      </c>
      <c r="AJ133" s="100">
        <v>0</v>
      </c>
      <c r="AK133" s="100">
        <v>0</v>
      </c>
      <c r="AL133" s="100">
        <v>0</v>
      </c>
      <c r="AM133" s="100">
        <v>0</v>
      </c>
      <c r="AN133" s="100">
        <v>0</v>
      </c>
      <c r="AO133" s="100">
        <v>0</v>
      </c>
      <c r="AP133" s="100">
        <v>0</v>
      </c>
      <c r="AQ133" s="100">
        <v>0</v>
      </c>
      <c r="AR133" s="100">
        <v>0</v>
      </c>
    </row>
    <row r="134" spans="1:44">
      <c r="A134" s="62" t="s">
        <v>97</v>
      </c>
      <c r="B134" s="64">
        <v>116.07709003333142</v>
      </c>
      <c r="C134" s="64">
        <v>118.57155060579352</v>
      </c>
      <c r="D134" s="64">
        <v>123.17486793833733</v>
      </c>
      <c r="E134" s="64">
        <v>123.33760471097902</v>
      </c>
      <c r="F134" s="64">
        <v>124.20292090840323</v>
      </c>
      <c r="G134" s="64">
        <v>125.56278449581252</v>
      </c>
      <c r="H134" s="64">
        <v>126.79674172411553</v>
      </c>
      <c r="I134" s="64">
        <v>129.30547725177476</v>
      </c>
      <c r="J134" s="64">
        <v>131.49170736677999</v>
      </c>
      <c r="K134" s="64">
        <v>133.68875507764926</v>
      </c>
      <c r="L134" s="64">
        <v>133.37731367892897</v>
      </c>
      <c r="M134" s="64">
        <v>136.81504139031648</v>
      </c>
      <c r="N134" s="64">
        <v>137.88833034844046</v>
      </c>
      <c r="O134" s="64">
        <v>138.00949267513337</v>
      </c>
      <c r="P134" s="64">
        <v>138.57663989144953</v>
      </c>
      <c r="Q134" s="64">
        <v>136.44634068869917</v>
      </c>
      <c r="R134" s="64">
        <v>136.65653783409783</v>
      </c>
      <c r="S134" s="64">
        <v>135.553362159306</v>
      </c>
      <c r="T134" s="64">
        <v>129.07062154547307</v>
      </c>
      <c r="U134" s="64">
        <v>128.69810429478028</v>
      </c>
      <c r="V134" s="64">
        <v>129.75145767713562</v>
      </c>
      <c r="W134" s="64">
        <v>130.79213874105406</v>
      </c>
      <c r="X134" s="64">
        <v>129.07969120376441</v>
      </c>
      <c r="Y134" s="64">
        <v>128.86418813062241</v>
      </c>
      <c r="Z134" s="64">
        <v>128.72388898622259</v>
      </c>
      <c r="AA134" s="64">
        <v>130.12772338273336</v>
      </c>
      <c r="AB134" s="64">
        <v>130.3147084742923</v>
      </c>
      <c r="AC134" s="64">
        <v>130.10064539322588</v>
      </c>
      <c r="AD134" s="64">
        <v>126.97386336141011</v>
      </c>
      <c r="AE134" s="64">
        <v>125.8893923978992</v>
      </c>
      <c r="AF134" s="64">
        <v>106.9880604082518</v>
      </c>
      <c r="AG134" s="64">
        <v>120.12941296662724</v>
      </c>
      <c r="AH134" s="64">
        <v>123.32527062388699</v>
      </c>
      <c r="AI134" s="106">
        <v>120.68448054954557</v>
      </c>
      <c r="AJ134" s="106">
        <v>115.65486580389097</v>
      </c>
      <c r="AK134" s="106">
        <v>107.13931291752598</v>
      </c>
      <c r="AL134" s="106">
        <v>101.55328602900933</v>
      </c>
      <c r="AM134" s="106">
        <v>89.775462072221188</v>
      </c>
      <c r="AN134" s="106">
        <v>81.97668876967937</v>
      </c>
      <c r="AO134" s="106">
        <v>68.086332291829791</v>
      </c>
      <c r="AP134" s="106">
        <v>58.834654565022895</v>
      </c>
      <c r="AQ134" s="106">
        <v>41.859619269546961</v>
      </c>
      <c r="AR134" s="106">
        <v>35.105259610148693</v>
      </c>
    </row>
    <row r="135" spans="1:44">
      <c r="A135" s="39" t="s">
        <v>8</v>
      </c>
      <c r="B135" s="31">
        <v>1.0939765562877675</v>
      </c>
      <c r="C135" s="31">
        <v>1.0596877388518826</v>
      </c>
      <c r="D135" s="31">
        <v>1.0090709131131945</v>
      </c>
      <c r="E135" s="31">
        <v>0.93368994144858974</v>
      </c>
      <c r="F135" s="31">
        <v>0.86701724087881282</v>
      </c>
      <c r="G135" s="31">
        <v>0.82837428789551359</v>
      </c>
      <c r="H135" s="31">
        <v>0.80224947461102969</v>
      </c>
      <c r="I135" s="31">
        <v>0.79462973740305509</v>
      </c>
      <c r="J135" s="31">
        <v>0.75625891789146904</v>
      </c>
      <c r="K135" s="31">
        <v>0.76418406439410713</v>
      </c>
      <c r="L135" s="31">
        <v>0.78206278967209875</v>
      </c>
      <c r="M135" s="31">
        <v>0.74810360525547603</v>
      </c>
      <c r="N135" s="31">
        <v>0.77381184794721769</v>
      </c>
      <c r="O135" s="31">
        <v>0.74484268632506367</v>
      </c>
      <c r="P135" s="31">
        <v>0.73726972569160143</v>
      </c>
      <c r="Q135" s="31">
        <v>0.67259310113337334</v>
      </c>
      <c r="R135" s="31">
        <v>0.65130970193691051</v>
      </c>
      <c r="S135" s="31">
        <v>0.61647590225593829</v>
      </c>
      <c r="T135" s="31">
        <v>0.62732134594132982</v>
      </c>
      <c r="U135" s="31">
        <v>0.57682117751301043</v>
      </c>
      <c r="V135" s="31">
        <v>0.55137636948203983</v>
      </c>
      <c r="W135" s="31">
        <v>0.56504701618342701</v>
      </c>
      <c r="X135" s="31">
        <v>0.54485026387312507</v>
      </c>
      <c r="Y135" s="31">
        <v>0.54034510931271762</v>
      </c>
      <c r="Z135" s="31">
        <v>0.46751148942032311</v>
      </c>
      <c r="AA135" s="31">
        <v>0.5167464658496167</v>
      </c>
      <c r="AB135" s="31">
        <v>0.43762481122560942</v>
      </c>
      <c r="AC135" s="31">
        <v>0.45876476884753692</v>
      </c>
      <c r="AD135" s="31">
        <v>0.41218778700039704</v>
      </c>
      <c r="AE135" s="31">
        <v>0.41156828250469618</v>
      </c>
      <c r="AF135" s="31">
        <v>0.35015313535336312</v>
      </c>
      <c r="AG135" s="31">
        <v>0.39103897395499571</v>
      </c>
      <c r="AH135" s="31">
        <v>0.40066387819712079</v>
      </c>
      <c r="AI135" s="100">
        <v>0.40370641060372181</v>
      </c>
      <c r="AJ135" s="100">
        <v>0.41078829035761433</v>
      </c>
      <c r="AK135" s="100">
        <v>0.4029332821231309</v>
      </c>
      <c r="AL135" s="100">
        <v>0.39745946982522889</v>
      </c>
      <c r="AM135" s="100">
        <v>0.39017909693462483</v>
      </c>
      <c r="AN135" s="100">
        <v>0.38661406711739588</v>
      </c>
      <c r="AO135" s="100">
        <v>0.38296160850157396</v>
      </c>
      <c r="AP135" s="100">
        <v>0.38155536467071083</v>
      </c>
      <c r="AQ135" s="100">
        <v>0.37967066944969435</v>
      </c>
      <c r="AR135" s="100">
        <v>0.3787801523820819</v>
      </c>
    </row>
    <row r="136" spans="1:44">
      <c r="A136" s="39" t="s">
        <v>98</v>
      </c>
      <c r="B136" s="31">
        <v>0.1279141231533846</v>
      </c>
      <c r="C136" s="31">
        <v>0.14130528803054451</v>
      </c>
      <c r="D136" s="31">
        <v>0.14801685817132992</v>
      </c>
      <c r="E136" s="31">
        <v>9.5546083481710661E-2</v>
      </c>
      <c r="F136" s="31">
        <v>9.7155187543646326E-2</v>
      </c>
      <c r="G136" s="31">
        <v>9.6424649423254905E-2</v>
      </c>
      <c r="H136" s="31">
        <v>9.8194626592818773E-2</v>
      </c>
      <c r="I136" s="31">
        <v>9.4099655613888847E-2</v>
      </c>
      <c r="J136" s="31">
        <v>0.10341511301638064</v>
      </c>
      <c r="K136" s="31">
        <v>0.12248480125334377</v>
      </c>
      <c r="L136" s="31">
        <v>0.12304702567733181</v>
      </c>
      <c r="M136" s="31">
        <v>0.10640847920964064</v>
      </c>
      <c r="N136" s="31">
        <v>0.11509424981963116</v>
      </c>
      <c r="O136" s="31">
        <v>0.11822086876737053</v>
      </c>
      <c r="P136" s="31">
        <v>0.12199011929605018</v>
      </c>
      <c r="Q136" s="31">
        <v>0.13554909719630678</v>
      </c>
      <c r="R136" s="31">
        <v>0.1353054359521686</v>
      </c>
      <c r="S136" s="31">
        <v>0.12715831450153137</v>
      </c>
      <c r="T136" s="31">
        <v>0.12966021434705802</v>
      </c>
      <c r="U136" s="31">
        <v>0.1381712965527199</v>
      </c>
      <c r="V136" s="31">
        <v>0.14450926605621392</v>
      </c>
      <c r="W136" s="31">
        <v>0.14852335296206309</v>
      </c>
      <c r="X136" s="31">
        <v>0.14052060152338219</v>
      </c>
      <c r="Y136" s="31">
        <v>0.1394272107896472</v>
      </c>
      <c r="Z136" s="31">
        <v>0.13452310315399441</v>
      </c>
      <c r="AA136" s="31">
        <v>0.12662830888397214</v>
      </c>
      <c r="AB136" s="31">
        <v>0.11190552961463018</v>
      </c>
      <c r="AC136" s="31">
        <v>0.10742271434395843</v>
      </c>
      <c r="AD136" s="31">
        <v>0.11411675855972694</v>
      </c>
      <c r="AE136" s="31">
        <v>0.12449718771430604</v>
      </c>
      <c r="AF136" s="31">
        <v>0.11462036759332829</v>
      </c>
      <c r="AG136" s="31">
        <v>0.12145485134072417</v>
      </c>
      <c r="AH136" s="31">
        <v>0.12422859142170607</v>
      </c>
      <c r="AI136" s="100">
        <v>0.1157864380940114</v>
      </c>
      <c r="AJ136" s="100">
        <v>0.13273987056155684</v>
      </c>
      <c r="AK136" s="100">
        <v>0.11536224436197819</v>
      </c>
      <c r="AL136" s="100">
        <v>0.10377716022892575</v>
      </c>
      <c r="AM136" s="100">
        <v>0.10108023526248262</v>
      </c>
      <c r="AN136" s="100">
        <v>9.9282285284853916E-2</v>
      </c>
      <c r="AO136" s="100">
        <v>9.6495676352780904E-2</v>
      </c>
      <c r="AP136" s="100">
        <v>9.4637937064732267E-2</v>
      </c>
      <c r="AQ136" s="100">
        <v>8.9844115568560673E-2</v>
      </c>
      <c r="AR136" s="100">
        <v>9.0965165138934878E-2</v>
      </c>
    </row>
    <row r="137" spans="1:44">
      <c r="A137" s="39" t="s">
        <v>99</v>
      </c>
      <c r="B137" s="31">
        <v>1.732981407358134</v>
      </c>
      <c r="C137" s="31">
        <v>1.889562920318071</v>
      </c>
      <c r="D137" s="31">
        <v>1.7239005286183946</v>
      </c>
      <c r="E137" s="31">
        <v>1.927545761625191</v>
      </c>
      <c r="F137" s="31">
        <v>1.8370535752470105</v>
      </c>
      <c r="G137" s="31">
        <v>1.7818936253732311</v>
      </c>
      <c r="H137" s="31">
        <v>1.7462618816140729</v>
      </c>
      <c r="I137" s="31">
        <v>1.7801091709413632</v>
      </c>
      <c r="J137" s="31">
        <v>1.8138872519387079</v>
      </c>
      <c r="K137" s="31">
        <v>1.9330102205720985</v>
      </c>
      <c r="L137" s="31">
        <v>1.8686954093644925</v>
      </c>
      <c r="M137" s="31">
        <v>1.9972293788393709</v>
      </c>
      <c r="N137" s="31">
        <v>1.9722659880518547</v>
      </c>
      <c r="O137" s="31">
        <v>2.0239854943733762</v>
      </c>
      <c r="P137" s="31">
        <v>1.8801678486455471</v>
      </c>
      <c r="Q137" s="31">
        <v>1.8511101801735721</v>
      </c>
      <c r="R137" s="31">
        <v>1.722618170042906</v>
      </c>
      <c r="S137" s="31">
        <v>1.6621464738071972</v>
      </c>
      <c r="T137" s="31">
        <v>1.597142282725786</v>
      </c>
      <c r="U137" s="31">
        <v>1.6373118911976412</v>
      </c>
      <c r="V137" s="31">
        <v>1.5973847113066064</v>
      </c>
      <c r="W137" s="31">
        <v>1.5620744035918586</v>
      </c>
      <c r="X137" s="31">
        <v>1.6837637821112921</v>
      </c>
      <c r="Y137" s="31">
        <v>1.5506559811879403</v>
      </c>
      <c r="Z137" s="31">
        <v>1.547586384031765</v>
      </c>
      <c r="AA137" s="31">
        <v>1.5499275789826226</v>
      </c>
      <c r="AB137" s="31">
        <v>1.5064643807398039</v>
      </c>
      <c r="AC137" s="31">
        <v>1.6558627748396508</v>
      </c>
      <c r="AD137" s="31">
        <v>1.6145247964503355</v>
      </c>
      <c r="AE137" s="31">
        <v>1.6276989239828108</v>
      </c>
      <c r="AF137" s="31">
        <v>1.6478396080664008</v>
      </c>
      <c r="AG137" s="31">
        <v>1.7788002583865279</v>
      </c>
      <c r="AH137" s="31">
        <v>1.7477500321391286</v>
      </c>
      <c r="AI137" s="100">
        <v>1.6702027282294822</v>
      </c>
      <c r="AJ137" s="100">
        <v>1.600567771721183</v>
      </c>
      <c r="AK137" s="100">
        <v>1.5091100479580617</v>
      </c>
      <c r="AL137" s="100">
        <v>1.4342338011986533</v>
      </c>
      <c r="AM137" s="100">
        <v>1.3301576865255849</v>
      </c>
      <c r="AN137" s="100">
        <v>1.264683109583177</v>
      </c>
      <c r="AO137" s="100">
        <v>1.1861356618701748</v>
      </c>
      <c r="AP137" s="100">
        <v>1.1427827092845639</v>
      </c>
      <c r="AQ137" s="100">
        <v>1.0608319625599174</v>
      </c>
      <c r="AR137" s="100">
        <v>1.0111642702693282</v>
      </c>
    </row>
    <row r="138" spans="1:44">
      <c r="A138" s="39" t="s">
        <v>100</v>
      </c>
      <c r="B138" s="31">
        <v>0.66526652613885218</v>
      </c>
      <c r="C138" s="31">
        <v>0.68294018334651152</v>
      </c>
      <c r="D138" s="31">
        <v>0.70107772440539573</v>
      </c>
      <c r="E138" s="31">
        <v>0.73321374469247258</v>
      </c>
      <c r="F138" s="31">
        <v>0.7479751381117824</v>
      </c>
      <c r="G138" s="31">
        <v>0.78477334870025317</v>
      </c>
      <c r="H138" s="31">
        <v>0.80349313483215401</v>
      </c>
      <c r="I138" s="31">
        <v>0.8260332920880239</v>
      </c>
      <c r="J138" s="31">
        <v>0.88102832302774137</v>
      </c>
      <c r="K138" s="31">
        <v>0.90106921591235989</v>
      </c>
      <c r="L138" s="31">
        <v>0.83562247173387261</v>
      </c>
      <c r="M138" s="31">
        <v>0.89347553699895887</v>
      </c>
      <c r="N138" s="31">
        <v>0.95770421716824361</v>
      </c>
      <c r="O138" s="31">
        <v>0.97138105944988418</v>
      </c>
      <c r="P138" s="31">
        <v>0.99230629314341945</v>
      </c>
      <c r="Q138" s="31">
        <v>0.93813171594466127</v>
      </c>
      <c r="R138" s="31">
        <v>0.93110985214908903</v>
      </c>
      <c r="S138" s="31">
        <v>0.94617896407541391</v>
      </c>
      <c r="T138" s="31">
        <v>0.91311066434501975</v>
      </c>
      <c r="U138" s="31">
        <v>0.92793019189437331</v>
      </c>
      <c r="V138" s="31">
        <v>0.9356011026439186</v>
      </c>
      <c r="W138" s="31">
        <v>0.92277872959270302</v>
      </c>
      <c r="X138" s="31">
        <v>0.97702671079964787</v>
      </c>
      <c r="Y138" s="31">
        <v>0.98358211558577191</v>
      </c>
      <c r="Z138" s="31">
        <v>0.98625672830698763</v>
      </c>
      <c r="AA138" s="31">
        <v>0.98764692137865528</v>
      </c>
      <c r="AB138" s="31">
        <v>0.99491860624475703</v>
      </c>
      <c r="AC138" s="31">
        <v>0.99214212041702998</v>
      </c>
      <c r="AD138" s="31">
        <v>0.99236790052107582</v>
      </c>
      <c r="AE138" s="31">
        <v>1.0042689517616139</v>
      </c>
      <c r="AF138" s="31">
        <v>0.9997975833247934</v>
      </c>
      <c r="AG138" s="31">
        <v>1.0017505680782417</v>
      </c>
      <c r="AH138" s="31">
        <v>0.99291846561897568</v>
      </c>
      <c r="AI138" s="100">
        <v>0.97793087020228842</v>
      </c>
      <c r="AJ138" s="100">
        <v>0.94795567936891334</v>
      </c>
      <c r="AK138" s="100">
        <v>0.89679801083178401</v>
      </c>
      <c r="AL138" s="100">
        <v>0.86269289847369734</v>
      </c>
      <c r="AM138" s="100">
        <v>0.83516339019330466</v>
      </c>
      <c r="AN138" s="100">
        <v>0.81681038467304268</v>
      </c>
      <c r="AO138" s="100">
        <v>0.78913653266691697</v>
      </c>
      <c r="AP138" s="100">
        <v>0.77068729799616664</v>
      </c>
      <c r="AQ138" s="100">
        <v>0.7243236384430688</v>
      </c>
      <c r="AR138" s="100">
        <v>0.72612793501473105</v>
      </c>
    </row>
    <row r="139" spans="1:44">
      <c r="A139" s="39" t="s">
        <v>101</v>
      </c>
      <c r="B139" s="31">
        <v>3.6422797758156635</v>
      </c>
      <c r="C139" s="31">
        <v>3.7473700205172946</v>
      </c>
      <c r="D139" s="31">
        <v>3.7167088276873299</v>
      </c>
      <c r="E139" s="31">
        <v>3.7197347188773566</v>
      </c>
      <c r="F139" s="31">
        <v>3.8950437617511242</v>
      </c>
      <c r="G139" s="31">
        <v>4.4730181724936839</v>
      </c>
      <c r="H139" s="31">
        <v>4.9911007053902772</v>
      </c>
      <c r="I139" s="31">
        <v>5.1396954609893255</v>
      </c>
      <c r="J139" s="31">
        <v>5.3364930443257403</v>
      </c>
      <c r="K139" s="31">
        <v>5.5086039243321965</v>
      </c>
      <c r="L139" s="31">
        <v>5.6929911334113319</v>
      </c>
      <c r="M139" s="31">
        <v>5.3831022257554446</v>
      </c>
      <c r="N139" s="31">
        <v>5.2297201157966251</v>
      </c>
      <c r="O139" s="31">
        <v>4.7758988656380712</v>
      </c>
      <c r="P139" s="31">
        <v>4.8506527862520903</v>
      </c>
      <c r="Q139" s="31">
        <v>4.7113413038327039</v>
      </c>
      <c r="R139" s="31">
        <v>4.512845583066051</v>
      </c>
      <c r="S139" s="31">
        <v>4.459366804921217</v>
      </c>
      <c r="T139" s="31">
        <v>4.4997667565791284</v>
      </c>
      <c r="U139" s="31">
        <v>4.4663496603880875</v>
      </c>
      <c r="V139" s="31">
        <v>4.4383031466864074</v>
      </c>
      <c r="W139" s="31">
        <v>4.6488871568899803</v>
      </c>
      <c r="X139" s="31">
        <v>4.669983992444787</v>
      </c>
      <c r="Y139" s="31">
        <v>4.605299166586053</v>
      </c>
      <c r="Z139" s="31">
        <v>4.4140484877091097</v>
      </c>
      <c r="AA139" s="31">
        <v>4.4082332458393516</v>
      </c>
      <c r="AB139" s="31">
        <v>4.5478296892432066</v>
      </c>
      <c r="AC139" s="31">
        <v>4.6978196857875938</v>
      </c>
      <c r="AD139" s="31">
        <v>4.9361365471444998</v>
      </c>
      <c r="AE139" s="31">
        <v>5.0085559114741507</v>
      </c>
      <c r="AF139" s="31">
        <v>3.0746493034085089</v>
      </c>
      <c r="AG139" s="31">
        <v>3.7956335658518765</v>
      </c>
      <c r="AH139" s="31">
        <v>4.6179574221996189</v>
      </c>
      <c r="AI139" s="100">
        <v>4.6498712635274702</v>
      </c>
      <c r="AJ139" s="100">
        <v>4.7137664468247635</v>
      </c>
      <c r="AK139" s="100">
        <v>4.6746917107508885</v>
      </c>
      <c r="AL139" s="100">
        <v>4.6485590926315075</v>
      </c>
      <c r="AM139" s="100">
        <v>4.298669647297352</v>
      </c>
      <c r="AN139" s="100">
        <v>4.0654664833589145</v>
      </c>
      <c r="AO139" s="100">
        <v>3.8196197986014049</v>
      </c>
      <c r="AP139" s="100">
        <v>3.6557227341726382</v>
      </c>
      <c r="AQ139" s="100">
        <v>3.617744031508829</v>
      </c>
      <c r="AR139" s="100">
        <v>3.1149455603534943</v>
      </c>
    </row>
    <row r="140" spans="1:44">
      <c r="A140" s="62" t="s">
        <v>102</v>
      </c>
      <c r="B140" s="65">
        <v>7.2624183887538019</v>
      </c>
      <c r="C140" s="65">
        <v>7.520866151064304</v>
      </c>
      <c r="D140" s="65">
        <v>7.2987748519956446</v>
      </c>
      <c r="E140" s="63">
        <v>7.409730250125321</v>
      </c>
      <c r="F140" s="63">
        <v>7.4442449035323763</v>
      </c>
      <c r="G140" s="63">
        <v>7.964484083885937</v>
      </c>
      <c r="H140" s="63">
        <v>8.4412998230403531</v>
      </c>
      <c r="I140" s="63">
        <v>8.6345673170356569</v>
      </c>
      <c r="J140" s="63">
        <v>8.8910826502000404</v>
      </c>
      <c r="K140" s="63">
        <v>9.2293522264641048</v>
      </c>
      <c r="L140" s="63">
        <v>9.3024188298591284</v>
      </c>
      <c r="M140" s="63">
        <v>9.1283192260588919</v>
      </c>
      <c r="N140" s="63">
        <v>9.0485964187835712</v>
      </c>
      <c r="O140" s="63">
        <v>8.6343289745537657</v>
      </c>
      <c r="P140" s="63">
        <v>8.5823867730287091</v>
      </c>
      <c r="Q140" s="63">
        <v>8.3087253982806182</v>
      </c>
      <c r="R140" s="63">
        <v>7.9531887431471251</v>
      </c>
      <c r="S140" s="63">
        <v>7.8113264595612977</v>
      </c>
      <c r="T140" s="63">
        <v>7.7670012639383215</v>
      </c>
      <c r="U140" s="63">
        <v>7.7465842175458324</v>
      </c>
      <c r="V140" s="63">
        <v>7.6671745961751858</v>
      </c>
      <c r="W140" s="63">
        <v>7.8473106592200317</v>
      </c>
      <c r="X140" s="63">
        <v>8.0161453507522342</v>
      </c>
      <c r="Y140" s="63">
        <v>7.8193095834621307</v>
      </c>
      <c r="Z140" s="63">
        <v>7.5499261926221806</v>
      </c>
      <c r="AA140" s="63">
        <v>7.5891825209342185</v>
      </c>
      <c r="AB140" s="63">
        <v>7.5987430170680073</v>
      </c>
      <c r="AC140" s="63">
        <v>7.9120120642357694</v>
      </c>
      <c r="AD140" s="63">
        <v>8.0693337896760351</v>
      </c>
      <c r="AE140" s="63">
        <v>8.1765892574375769</v>
      </c>
      <c r="AF140" s="63">
        <v>6.1870599977463945</v>
      </c>
      <c r="AG140" s="63">
        <v>7.0886782176123653</v>
      </c>
      <c r="AH140" s="63">
        <v>7.8835183895765502</v>
      </c>
      <c r="AI140" s="106">
        <v>7.8174977106569745</v>
      </c>
      <c r="AJ140" s="106">
        <v>7.8058180588340313</v>
      </c>
      <c r="AK140" s="106">
        <v>7.5988952960258427</v>
      </c>
      <c r="AL140" s="106">
        <v>7.4467224223580128</v>
      </c>
      <c r="AM140" s="106">
        <v>6.955250056213349</v>
      </c>
      <c r="AN140" s="106">
        <v>6.6328563300173844</v>
      </c>
      <c r="AO140" s="106">
        <v>6.2743492779928509</v>
      </c>
      <c r="AP140" s="106">
        <v>6.0453860431888113</v>
      </c>
      <c r="AQ140" s="106">
        <v>5.8724144175300701</v>
      </c>
      <c r="AR140" s="106">
        <v>5.3219830831585702</v>
      </c>
    </row>
    <row r="141" spans="1:44">
      <c r="A141" s="66" t="s">
        <v>103</v>
      </c>
      <c r="B141" s="68">
        <v>123.33950842208522</v>
      </c>
      <c r="C141" s="68">
        <v>126.09241675685783</v>
      </c>
      <c r="D141" s="68">
        <v>130.47364279033297</v>
      </c>
      <c r="E141" s="67">
        <v>130.74733496110434</v>
      </c>
      <c r="F141" s="67">
        <v>131.64716581193559</v>
      </c>
      <c r="G141" s="67">
        <v>133.52726857969847</v>
      </c>
      <c r="H141" s="67">
        <v>135.23804154715589</v>
      </c>
      <c r="I141" s="67">
        <v>137.94004456881041</v>
      </c>
      <c r="J141" s="67">
        <v>140.38279001698004</v>
      </c>
      <c r="K141" s="67">
        <v>142.91810730411336</v>
      </c>
      <c r="L141" s="67">
        <v>142.67973250878811</v>
      </c>
      <c r="M141" s="67">
        <v>145.94336061637537</v>
      </c>
      <c r="N141" s="67">
        <v>146.93692676722404</v>
      </c>
      <c r="O141" s="67">
        <v>146.64382164968714</v>
      </c>
      <c r="P141" s="67">
        <v>147.15902666447823</v>
      </c>
      <c r="Q141" s="67">
        <v>144.75506608697978</v>
      </c>
      <c r="R141" s="67">
        <v>144.60972657724497</v>
      </c>
      <c r="S141" s="67">
        <v>143.36468861886729</v>
      </c>
      <c r="T141" s="67">
        <v>136.83762280941139</v>
      </c>
      <c r="U141" s="67">
        <v>136.44468851232611</v>
      </c>
      <c r="V141" s="67">
        <v>137.41863227331081</v>
      </c>
      <c r="W141" s="67">
        <v>138.63944940027409</v>
      </c>
      <c r="X141" s="67">
        <v>137.09583655451664</v>
      </c>
      <c r="Y141" s="67">
        <v>136.68349771408455</v>
      </c>
      <c r="Z141" s="67">
        <v>136.27381517884476</v>
      </c>
      <c r="AA141" s="67">
        <v>137.71690590366759</v>
      </c>
      <c r="AB141" s="67">
        <v>137.91345149136032</v>
      </c>
      <c r="AC141" s="67">
        <v>138.01265745746164</v>
      </c>
      <c r="AD141" s="67">
        <v>135.04319715108613</v>
      </c>
      <c r="AE141" s="67">
        <v>134.06598165533677</v>
      </c>
      <c r="AF141" s="67">
        <v>113.17512040599819</v>
      </c>
      <c r="AG141" s="67">
        <v>127.21809118423961</v>
      </c>
      <c r="AH141" s="67">
        <v>131.20878901346353</v>
      </c>
      <c r="AI141" s="107">
        <v>128.50197826020255</v>
      </c>
      <c r="AJ141" s="107">
        <v>123.46068386272501</v>
      </c>
      <c r="AK141" s="107">
        <v>114.73820821355183</v>
      </c>
      <c r="AL141" s="107">
        <v>109.00000845136734</v>
      </c>
      <c r="AM141" s="107">
        <v>96.730712128434533</v>
      </c>
      <c r="AN141" s="107">
        <v>88.60954509969676</v>
      </c>
      <c r="AO141" s="107">
        <v>74.360681569822646</v>
      </c>
      <c r="AP141" s="107">
        <v>64.880040608211701</v>
      </c>
      <c r="AQ141" s="107">
        <v>47.732033687077035</v>
      </c>
      <c r="AR141" s="107">
        <v>40.427242693307264</v>
      </c>
    </row>
    <row r="142" spans="1:44">
      <c r="A142" s="69"/>
      <c r="B142" s="69"/>
      <c r="C142" s="69"/>
      <c r="D142" s="69"/>
      <c r="E142" s="69"/>
      <c r="F142" s="69"/>
      <c r="G142" s="69"/>
      <c r="H142" s="69"/>
      <c r="I142" s="69"/>
      <c r="J142" s="69"/>
      <c r="K142" s="69"/>
      <c r="L142" s="69"/>
      <c r="M142" s="69"/>
      <c r="N142" s="69"/>
      <c r="O142" s="69"/>
      <c r="P142" s="69"/>
      <c r="Q142" s="69"/>
      <c r="R142" s="69"/>
      <c r="S142" s="69"/>
      <c r="T142" s="69"/>
      <c r="U142" s="69"/>
      <c r="V142" s="69"/>
      <c r="W142" s="85"/>
      <c r="X142" s="85"/>
      <c r="Y142" s="85"/>
      <c r="Z142" s="85"/>
      <c r="AA142" s="85"/>
      <c r="AB142" s="85"/>
      <c r="AC142" s="85"/>
      <c r="AD142" s="85"/>
      <c r="AE142" s="85"/>
      <c r="AF142" s="69"/>
      <c r="AG142" s="69"/>
      <c r="AH142" s="69"/>
    </row>
    <row r="143" spans="1:44">
      <c r="A143" s="70" t="s">
        <v>104</v>
      </c>
      <c r="B143" s="71">
        <v>8.6861249177395794E-2</v>
      </c>
      <c r="C143" s="71">
        <v>8.3086892016539488E-2</v>
      </c>
      <c r="D143" s="71">
        <v>9.2403334736260043E-2</v>
      </c>
      <c r="E143" s="71">
        <v>6.7939647695450522E-2</v>
      </c>
      <c r="F143" s="71">
        <v>7.5947351349818448E-2</v>
      </c>
      <c r="G143" s="71">
        <v>8.3089094614412287E-2</v>
      </c>
      <c r="H143" s="71">
        <v>7.8113514872747231E-2</v>
      </c>
      <c r="I143" s="71">
        <v>7.5797280707474754E-2</v>
      </c>
      <c r="J143" s="71">
        <v>8.2509836165488987E-2</v>
      </c>
      <c r="K143" s="71">
        <v>8.1240880068578172E-2</v>
      </c>
      <c r="L143" s="71">
        <v>9.2696590002628684E-2</v>
      </c>
      <c r="M143" s="71">
        <v>9.2404936089116443E-2</v>
      </c>
      <c r="N143" s="71">
        <v>8.9613471595509447E-2</v>
      </c>
      <c r="O143" s="71">
        <v>8.4325834779954409E-2</v>
      </c>
      <c r="P143" s="71">
        <v>9.2352059775994061E-2</v>
      </c>
      <c r="Q143" s="71">
        <v>9.395256791770501E-2</v>
      </c>
      <c r="R143" s="71">
        <v>9.6274656856552801E-2</v>
      </c>
      <c r="S143" s="71">
        <v>9.1968379218339447E-2</v>
      </c>
      <c r="T143" s="71">
        <v>8.7687635722025065E-2</v>
      </c>
      <c r="U143" s="71">
        <v>7.6264515564523641E-2</v>
      </c>
      <c r="V143" s="71">
        <v>8.7730512735512592E-2</v>
      </c>
      <c r="W143" s="71">
        <v>7.9077357508472321E-2</v>
      </c>
      <c r="X143" s="71">
        <v>7.6659140199888759E-2</v>
      </c>
      <c r="Y143" s="71">
        <v>7.856138549215444E-2</v>
      </c>
      <c r="Z143" s="71">
        <v>7.760292767806648E-2</v>
      </c>
      <c r="AA143" s="71">
        <v>7.5244568772137976E-2</v>
      </c>
      <c r="AB143" s="71">
        <v>7.2773073629675458E-2</v>
      </c>
      <c r="AC143" s="71">
        <v>7.3818993596736396E-2</v>
      </c>
      <c r="AD143" s="71">
        <v>6.4713037714510299E-2</v>
      </c>
      <c r="AE143" s="71">
        <v>7.0819649539229146E-2</v>
      </c>
      <c r="AF143" s="71">
        <v>5.8460565929686216E-2</v>
      </c>
      <c r="AG143" s="71">
        <v>5.9057369271616145E-2</v>
      </c>
      <c r="AH143" s="71">
        <v>6.7280996071413079E-2</v>
      </c>
      <c r="AI143" s="100">
        <v>6.2859727156668099E-2</v>
      </c>
      <c r="AJ143" s="100">
        <v>7.2067496941738293E-2</v>
      </c>
      <c r="AK143" s="100">
        <v>6.2632788156090996E-2</v>
      </c>
      <c r="AL143" s="100">
        <v>5.6342982298992789E-2</v>
      </c>
      <c r="AM143" s="100">
        <v>5.4878760351593031E-2</v>
      </c>
      <c r="AN143" s="100">
        <v>5.3902612386659859E-2</v>
      </c>
      <c r="AO143" s="100">
        <v>5.2389698973075799E-2</v>
      </c>
      <c r="AP143" s="100">
        <v>5.138109003068643E-2</v>
      </c>
      <c r="AQ143" s="100">
        <v>4.8778415231072438E-2</v>
      </c>
      <c r="AR143" s="100">
        <v>4.9387058558376377E-2</v>
      </c>
    </row>
    <row r="144" spans="1:44">
      <c r="A144" s="70" t="s">
        <v>105</v>
      </c>
      <c r="B144" s="71">
        <v>8.0064364020569485</v>
      </c>
      <c r="C144" s="71">
        <v>8.3100635415339301</v>
      </c>
      <c r="D144" s="71">
        <v>8.0455324021380168</v>
      </c>
      <c r="E144" s="71">
        <v>7.8051269904900655</v>
      </c>
      <c r="F144" s="71">
        <v>6.9500708382627039</v>
      </c>
      <c r="G144" s="71">
        <v>7.1635512485420918</v>
      </c>
      <c r="H144" s="71">
        <v>7.5304952350226735</v>
      </c>
      <c r="I144" s="71">
        <v>8.2673908457180953</v>
      </c>
      <c r="J144" s="71">
        <v>9.1224560853678689</v>
      </c>
      <c r="K144" s="71">
        <v>9.2256651827596077</v>
      </c>
      <c r="L144" s="71">
        <v>9.5244011930652803</v>
      </c>
      <c r="M144" s="71">
        <v>8.058635292476108</v>
      </c>
      <c r="N144" s="71">
        <v>7.8048809602015368</v>
      </c>
      <c r="O144" s="71">
        <v>8.467737584156648</v>
      </c>
      <c r="P144" s="71">
        <v>9.6636437305878484</v>
      </c>
      <c r="Q144" s="71">
        <v>8.8266006919244244</v>
      </c>
      <c r="R144" s="71">
        <v>9.1793245475865302</v>
      </c>
      <c r="S144" s="71">
        <v>9.4272081649334609</v>
      </c>
      <c r="T144" s="71">
        <v>8.2001093905007778</v>
      </c>
      <c r="U144" s="71">
        <v>8.2036259452369329</v>
      </c>
      <c r="V144" s="71">
        <v>7.9516573829845312</v>
      </c>
      <c r="W144" s="71">
        <v>8.5290126158267139</v>
      </c>
      <c r="X144" s="71">
        <v>8.0581195830470396</v>
      </c>
      <c r="Y144" s="71">
        <v>7.3438497900654314</v>
      </c>
      <c r="Z144" s="71">
        <v>6.2536519263562571</v>
      </c>
      <c r="AA144" s="71">
        <v>5.5628273705555342</v>
      </c>
      <c r="AB144" s="71">
        <v>5.2820970591048955</v>
      </c>
      <c r="AC144" s="71">
        <v>5.5946020790414597</v>
      </c>
      <c r="AD144" s="71">
        <v>6.3178356058493836</v>
      </c>
      <c r="AE144" s="71">
        <v>5.5478220526452509</v>
      </c>
      <c r="AF144" s="71">
        <v>3.1117827353857415</v>
      </c>
      <c r="AG144" s="71">
        <v>3.539894772865555</v>
      </c>
      <c r="AH144" s="71">
        <v>3.7772024807773703</v>
      </c>
      <c r="AI144" s="100">
        <v>4.0275258762221746</v>
      </c>
      <c r="AJ144" s="100">
        <v>4.6162941879052024</v>
      </c>
      <c r="AK144" s="100">
        <v>4.3348003415479868</v>
      </c>
      <c r="AL144" s="100">
        <v>4.0626962461541618</v>
      </c>
      <c r="AM144" s="100">
        <v>3.7494111963104064</v>
      </c>
      <c r="AN144" s="100">
        <v>3.54053080362922</v>
      </c>
      <c r="AO144" s="100">
        <v>3.3151528020112133</v>
      </c>
      <c r="AP144" s="100">
        <v>3.1633385006884005</v>
      </c>
      <c r="AQ144" s="100">
        <v>2.6872271797596916</v>
      </c>
      <c r="AR144" s="100">
        <v>2.4107454505716155</v>
      </c>
    </row>
    <row r="145" spans="1:44">
      <c r="A145" s="70" t="s">
        <v>106</v>
      </c>
      <c r="B145" s="71">
        <v>9.4494201248654495</v>
      </c>
      <c r="C145" s="71">
        <v>9.090215391511931</v>
      </c>
      <c r="D145" s="71">
        <v>10.513366864232674</v>
      </c>
      <c r="E145" s="71">
        <v>10.817519702480601</v>
      </c>
      <c r="F145" s="71">
        <v>11.214315834986577</v>
      </c>
      <c r="G145" s="71">
        <v>11.310458539818319</v>
      </c>
      <c r="H145" s="71">
        <v>12.040313015182091</v>
      </c>
      <c r="I145" s="71">
        <v>12.368509806087856</v>
      </c>
      <c r="J145" s="71">
        <v>13.096849243641479</v>
      </c>
      <c r="K145" s="71">
        <v>14.415674126762449</v>
      </c>
      <c r="L145" s="71">
        <v>14.894006874502971</v>
      </c>
      <c r="M145" s="71">
        <v>14.930847994283305</v>
      </c>
      <c r="N145" s="71">
        <v>14.983794848734371</v>
      </c>
      <c r="O145" s="71">
        <v>15.083423627165576</v>
      </c>
      <c r="P145" s="71">
        <v>16.076277518124058</v>
      </c>
      <c r="Q145" s="71">
        <v>16.280335135788079</v>
      </c>
      <c r="R145" s="71">
        <v>17.112862004521098</v>
      </c>
      <c r="S145" s="71">
        <v>17.721000835378462</v>
      </c>
      <c r="T145" s="71">
        <v>17.904338847467606</v>
      </c>
      <c r="U145" s="71">
        <v>16.436883520009616</v>
      </c>
      <c r="V145" s="71">
        <v>16.49124278004507</v>
      </c>
      <c r="W145" s="71">
        <v>17.163355347899529</v>
      </c>
      <c r="X145" s="71">
        <v>16.734494024836088</v>
      </c>
      <c r="Y145" s="71">
        <v>16.625810625894974</v>
      </c>
      <c r="Z145" s="71">
        <v>16.819247716652743</v>
      </c>
      <c r="AA145" s="71">
        <v>17.779227812101396</v>
      </c>
      <c r="AB145" s="71">
        <v>17.481347136389896</v>
      </c>
      <c r="AC145" s="71">
        <v>17.761070309214283</v>
      </c>
      <c r="AD145" s="71">
        <v>18.353482193069091</v>
      </c>
      <c r="AE145" s="71">
        <v>19.221889321825419</v>
      </c>
      <c r="AF145" s="71">
        <v>8.248406097425919</v>
      </c>
      <c r="AG145" s="71">
        <v>9.0390496953443424</v>
      </c>
      <c r="AH145" s="71">
        <v>14.059772357293248</v>
      </c>
      <c r="AI145" s="100">
        <v>15.661166409845139</v>
      </c>
      <c r="AJ145" s="100">
        <v>18.864234532960023</v>
      </c>
      <c r="AK145" s="100">
        <v>19.041869563574096</v>
      </c>
      <c r="AL145" s="100">
        <v>19.159800162960057</v>
      </c>
      <c r="AM145" s="100">
        <v>18.08464330101484</v>
      </c>
      <c r="AN145" s="100">
        <v>17.368213877388122</v>
      </c>
      <c r="AO145" s="100">
        <v>16.619239089339509</v>
      </c>
      <c r="AP145" s="100">
        <v>16.119929767016611</v>
      </c>
      <c r="AQ145" s="100">
        <v>16.287430459902652</v>
      </c>
      <c r="AR145" s="100">
        <v>14.441715429962033</v>
      </c>
    </row>
    <row r="146" spans="1:44">
      <c r="A146" s="72" t="s">
        <v>107</v>
      </c>
      <c r="B146" s="73">
        <v>6.6780000000000019E-4</v>
      </c>
      <c r="C146" s="73">
        <v>1.1412899999999999E-3</v>
      </c>
      <c r="D146" s="73">
        <v>9.756000000000004E-4</v>
      </c>
      <c r="E146" s="73">
        <v>9.3739499999999994E-4</v>
      </c>
      <c r="F146" s="73">
        <v>8.6202000000000013E-4</v>
      </c>
      <c r="G146" s="73">
        <v>1.3300650000000003E-3</v>
      </c>
      <c r="H146" s="73">
        <v>1.4490899999999994E-3</v>
      </c>
      <c r="I146" s="73">
        <v>1.7677349999999999E-3</v>
      </c>
      <c r="J146" s="73">
        <v>1.5145650000000003E-3</v>
      </c>
      <c r="K146" s="73">
        <v>1.3842000000000001E-3</v>
      </c>
      <c r="L146" s="73">
        <v>1.9543949999999994E-3</v>
      </c>
      <c r="M146" s="73">
        <v>1.3231799999999998E-3</v>
      </c>
      <c r="N146" s="73">
        <v>1.8962999999999999E-3</v>
      </c>
      <c r="O146" s="73">
        <v>8.123850000000001E-4</v>
      </c>
      <c r="P146" s="73">
        <v>6.4178999999999983E-4</v>
      </c>
      <c r="Q146" s="73">
        <v>1.0696499999999999E-3</v>
      </c>
      <c r="R146" s="73">
        <v>1.0696499999999999E-3</v>
      </c>
      <c r="S146" s="73">
        <v>1.2835799999999999E-3</v>
      </c>
      <c r="T146" s="73">
        <v>1.2835799999999999E-3</v>
      </c>
      <c r="U146" s="73">
        <v>1.4975099999999996E-3</v>
      </c>
      <c r="V146" s="73">
        <v>1.2835799999999999E-3</v>
      </c>
      <c r="W146" s="73">
        <v>1.2164400000000001E-3</v>
      </c>
      <c r="X146" s="73">
        <v>1.6994474999999999E-3</v>
      </c>
      <c r="Y146" s="73">
        <v>1.0576575E-3</v>
      </c>
      <c r="Z146" s="73">
        <v>1.6323075000000003E-3</v>
      </c>
      <c r="AA146" s="73">
        <v>1.6692075E-3</v>
      </c>
      <c r="AB146" s="73">
        <v>1.7545950000000005E-3</v>
      </c>
      <c r="AC146" s="73">
        <v>1.5958125000000002E-3</v>
      </c>
      <c r="AD146" s="73">
        <v>1.6140600000000001E-3</v>
      </c>
      <c r="AE146" s="73">
        <v>1.1310525E-3</v>
      </c>
      <c r="AF146" s="73">
        <v>8.437274999999998E-4</v>
      </c>
      <c r="AG146" s="73">
        <v>8.8062749999999988E-4</v>
      </c>
      <c r="AH146" s="73">
        <v>7.7033249999999994E-4</v>
      </c>
      <c r="AI146" s="100">
        <v>0</v>
      </c>
      <c r="AJ146" s="100">
        <v>0</v>
      </c>
      <c r="AK146" s="100">
        <v>0</v>
      </c>
      <c r="AL146" s="100">
        <v>0</v>
      </c>
      <c r="AM146" s="100">
        <v>0</v>
      </c>
      <c r="AN146" s="100">
        <v>0</v>
      </c>
      <c r="AO146" s="100">
        <v>0</v>
      </c>
      <c r="AP146" s="100">
        <v>0</v>
      </c>
      <c r="AQ146" s="100">
        <v>0</v>
      </c>
      <c r="AR146" s="100">
        <v>0</v>
      </c>
    </row>
    <row r="147" spans="1:44">
      <c r="A147" s="74" t="s">
        <v>108</v>
      </c>
      <c r="B147" s="76">
        <v>17.543385576099791</v>
      </c>
      <c r="C147" s="76">
        <v>17.484507115062399</v>
      </c>
      <c r="D147" s="76">
        <v>18.652278201106949</v>
      </c>
      <c r="E147" s="76">
        <v>18.691523735666117</v>
      </c>
      <c r="F147" s="75">
        <v>18.2411960445991</v>
      </c>
      <c r="G147" s="75">
        <v>18.558428947974825</v>
      </c>
      <c r="H147" s="75">
        <v>19.650370855077512</v>
      </c>
      <c r="I147" s="75">
        <v>20.713465667513425</v>
      </c>
      <c r="J147" s="75">
        <v>22.303329730174838</v>
      </c>
      <c r="K147" s="75">
        <v>23.723964389590634</v>
      </c>
      <c r="L147" s="75">
        <v>24.513059052570878</v>
      </c>
      <c r="M147" s="75">
        <v>23.083211402848526</v>
      </c>
      <c r="N147" s="75">
        <v>22.880185580531418</v>
      </c>
      <c r="O147" s="75">
        <v>23.636299431102177</v>
      </c>
      <c r="P147" s="75">
        <v>25.832915098487899</v>
      </c>
      <c r="Q147" s="75">
        <v>25.20195804563021</v>
      </c>
      <c r="R147" s="75">
        <v>26.389530858964182</v>
      </c>
      <c r="S147" s="75">
        <v>27.241460959530261</v>
      </c>
      <c r="T147" s="75">
        <v>26.19341945369041</v>
      </c>
      <c r="U147" s="75">
        <v>24.718271490811073</v>
      </c>
      <c r="V147" s="75">
        <v>24.531914255765113</v>
      </c>
      <c r="W147" s="75">
        <v>25.772661761234716</v>
      </c>
      <c r="X147" s="75">
        <v>24.870972195583015</v>
      </c>
      <c r="Y147" s="75">
        <v>24.049279458952558</v>
      </c>
      <c r="Z147" s="75">
        <v>23.152134878187066</v>
      </c>
      <c r="AA147" s="75">
        <v>23.418968958929071</v>
      </c>
      <c r="AB147" s="75">
        <v>22.837971864124469</v>
      </c>
      <c r="AC147" s="75">
        <v>23.431087194352479</v>
      </c>
      <c r="AD147" s="75">
        <v>24.737644896632986</v>
      </c>
      <c r="AE147" s="75">
        <v>24.841662076509898</v>
      </c>
      <c r="AF147" s="75">
        <v>11.419493126241347</v>
      </c>
      <c r="AG147" s="75">
        <v>12.638882464981515</v>
      </c>
      <c r="AH147" s="75">
        <v>17.905026166642031</v>
      </c>
      <c r="AI147" s="108">
        <v>19.751552013223982</v>
      </c>
      <c r="AJ147" s="108">
        <v>23.552596217806965</v>
      </c>
      <c r="AK147" s="108">
        <v>23.439302693278172</v>
      </c>
      <c r="AL147" s="108">
        <v>23.278839391413211</v>
      </c>
      <c r="AM147" s="108">
        <v>21.88893325767684</v>
      </c>
      <c r="AN147" s="108">
        <v>20.962647293404004</v>
      </c>
      <c r="AO147" s="108">
        <v>19.986781590323798</v>
      </c>
      <c r="AP147" s="108">
        <v>19.334649357735699</v>
      </c>
      <c r="AQ147" s="108">
        <v>19.023436054893416</v>
      </c>
      <c r="AR147" s="108">
        <v>16.901847939092026</v>
      </c>
    </row>
    <row r="148" spans="1:44" ht="15">
      <c r="A148" s="681"/>
      <c r="B148" s="681"/>
      <c r="C148" s="681"/>
      <c r="D148" s="681"/>
      <c r="E148" s="681"/>
      <c r="F148" s="681"/>
      <c r="G148" s="681"/>
      <c r="H148" s="681"/>
      <c r="I148" s="681"/>
      <c r="J148" s="681"/>
      <c r="K148" s="681"/>
      <c r="L148" s="681"/>
      <c r="M148" s="681"/>
      <c r="N148" s="681"/>
      <c r="O148" s="681"/>
      <c r="P148" s="681"/>
      <c r="Q148" s="681"/>
      <c r="R148" s="681"/>
      <c r="S148" s="681"/>
      <c r="T148" s="681"/>
      <c r="U148" s="681"/>
      <c r="V148" s="681"/>
      <c r="W148" s="681"/>
      <c r="X148" s="681"/>
      <c r="Y148" s="681"/>
      <c r="Z148" s="681"/>
      <c r="AA148" s="681"/>
      <c r="AB148" s="681"/>
      <c r="AC148" s="10"/>
      <c r="AD148" s="10"/>
      <c r="AE148" s="10"/>
      <c r="AF148" s="10"/>
      <c r="AG148" s="10"/>
      <c r="AH148" s="10"/>
    </row>
    <row r="149" spans="1:44">
      <c r="A149" s="77" t="s">
        <v>109</v>
      </c>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682" t="s">
        <v>117</v>
      </c>
      <c r="AJ149" s="682"/>
      <c r="AK149" s="682"/>
      <c r="AL149" s="682"/>
      <c r="AM149" s="682"/>
      <c r="AN149" s="682"/>
      <c r="AO149" s="682"/>
      <c r="AP149" s="682"/>
      <c r="AQ149" s="682"/>
      <c r="AR149" s="682"/>
    </row>
    <row r="150" spans="1:44" ht="26.4">
      <c r="A150" s="15" t="s">
        <v>34</v>
      </c>
      <c r="B150" s="16">
        <v>1990</v>
      </c>
      <c r="C150" s="16">
        <v>1991</v>
      </c>
      <c r="D150" s="16">
        <v>1992</v>
      </c>
      <c r="E150" s="16">
        <v>1993</v>
      </c>
      <c r="F150" s="16">
        <v>1994</v>
      </c>
      <c r="G150" s="16">
        <v>1995</v>
      </c>
      <c r="H150" s="16">
        <v>1996</v>
      </c>
      <c r="I150" s="16">
        <v>1997</v>
      </c>
      <c r="J150" s="16">
        <v>1998</v>
      </c>
      <c r="K150" s="16">
        <v>1999</v>
      </c>
      <c r="L150" s="16">
        <v>2000</v>
      </c>
      <c r="M150" s="16">
        <v>2001</v>
      </c>
      <c r="N150" s="16">
        <v>2002</v>
      </c>
      <c r="O150" s="16">
        <v>2003</v>
      </c>
      <c r="P150" s="16">
        <v>2004</v>
      </c>
      <c r="Q150" s="16">
        <v>2005</v>
      </c>
      <c r="R150" s="16">
        <v>2006</v>
      </c>
      <c r="S150" s="16">
        <v>2007</v>
      </c>
      <c r="T150" s="16">
        <v>2008</v>
      </c>
      <c r="U150" s="16">
        <v>2009</v>
      </c>
      <c r="V150" s="16">
        <v>2010</v>
      </c>
      <c r="W150" s="16">
        <v>2011</v>
      </c>
      <c r="X150" s="16">
        <v>2012</v>
      </c>
      <c r="Y150" s="16">
        <v>2013</v>
      </c>
      <c r="Z150" s="16">
        <v>2014</v>
      </c>
      <c r="AA150" s="16">
        <v>2015</v>
      </c>
      <c r="AB150" s="16">
        <v>2016</v>
      </c>
      <c r="AC150" s="16">
        <v>2017</v>
      </c>
      <c r="AD150" s="16">
        <v>2018</v>
      </c>
      <c r="AE150" s="16">
        <v>2019</v>
      </c>
      <c r="AF150" s="16">
        <v>2020</v>
      </c>
      <c r="AG150" s="17">
        <v>2021</v>
      </c>
      <c r="AH150" s="17">
        <v>2022</v>
      </c>
      <c r="AI150" s="16">
        <v>2023</v>
      </c>
      <c r="AJ150" s="86">
        <v>2025</v>
      </c>
      <c r="AK150" s="16">
        <v>2028</v>
      </c>
      <c r="AL150" s="86">
        <v>2030</v>
      </c>
      <c r="AM150" s="86">
        <v>2033</v>
      </c>
      <c r="AN150" s="16">
        <v>2035</v>
      </c>
      <c r="AO150" s="86">
        <v>2038</v>
      </c>
      <c r="AP150" s="16">
        <v>2040</v>
      </c>
      <c r="AQ150" s="86">
        <v>2045</v>
      </c>
      <c r="AR150" s="16">
        <v>2050</v>
      </c>
    </row>
    <row r="151" spans="1:44">
      <c r="A151" s="39" t="s">
        <v>26</v>
      </c>
      <c r="B151" s="31">
        <v>-40.714283831216619</v>
      </c>
      <c r="C151" s="31">
        <v>-42.257510170529713</v>
      </c>
      <c r="D151" s="31">
        <v>-42.711301254458327</v>
      </c>
      <c r="E151" s="31">
        <v>-47.628218695962808</v>
      </c>
      <c r="F151" s="31">
        <v>-47.647450007903757</v>
      </c>
      <c r="G151" s="31">
        <v>-49.244925303531012</v>
      </c>
      <c r="H151" s="31">
        <v>-55.694452823999299</v>
      </c>
      <c r="I151" s="31">
        <v>-54.612108914265676</v>
      </c>
      <c r="J151" s="31">
        <v>-55.645819312088832</v>
      </c>
      <c r="K151" s="31">
        <v>-58.497935612071331</v>
      </c>
      <c r="L151" s="31">
        <v>-38.969505238252452</v>
      </c>
      <c r="M151" s="31">
        <v>-49.433176110538447</v>
      </c>
      <c r="N151" s="31">
        <v>-58.507037759760991</v>
      </c>
      <c r="O151" s="31">
        <v>-61.844686035651407</v>
      </c>
      <c r="P151" s="31">
        <v>-63.983854659496515</v>
      </c>
      <c r="Q151" s="31">
        <v>-64.228632540986624</v>
      </c>
      <c r="R151" s="31">
        <v>-66.214663116151812</v>
      </c>
      <c r="S151" s="31">
        <v>-67.470338156058006</v>
      </c>
      <c r="T151" s="31">
        <v>-70.334327781392474</v>
      </c>
      <c r="U151" s="31">
        <v>-62.01195288418895</v>
      </c>
      <c r="V151" s="31">
        <v>-61.146335837124553</v>
      </c>
      <c r="W151" s="31">
        <v>-61.196845258079328</v>
      </c>
      <c r="X151" s="31">
        <v>-64.278412842553081</v>
      </c>
      <c r="Y151" s="31">
        <v>-67.335930807750728</v>
      </c>
      <c r="Z151" s="31">
        <v>-60.260457393018818</v>
      </c>
      <c r="AA151" s="31">
        <v>-57.325930479122327</v>
      </c>
      <c r="AB151" s="31">
        <v>-48.467249795969821</v>
      </c>
      <c r="AC151" s="31">
        <v>-37.843319887903888</v>
      </c>
      <c r="AD151" s="31">
        <v>-36.237773482666249</v>
      </c>
      <c r="AE151" s="31">
        <v>-36.469575976501361</v>
      </c>
      <c r="AF151" s="31">
        <v>-38.557266151472504</v>
      </c>
      <c r="AG151" s="31">
        <v>-34.426278725198557</v>
      </c>
      <c r="AH151" s="31">
        <v>-34.603340264527134</v>
      </c>
      <c r="AI151" s="100">
        <v>-34.679773325393313</v>
      </c>
      <c r="AJ151" s="100">
        <v>-32.004423278544465</v>
      </c>
      <c r="AK151" s="100">
        <v>-28.612323466722238</v>
      </c>
      <c r="AL151" s="100">
        <v>-27.100446681776379</v>
      </c>
      <c r="AM151" s="100">
        <v>-30.977911689852011</v>
      </c>
      <c r="AN151" s="100">
        <v>-28.579364930480146</v>
      </c>
      <c r="AO151" s="100">
        <v>-26.982251272520873</v>
      </c>
      <c r="AP151" s="100">
        <v>-26.934741116689747</v>
      </c>
      <c r="AQ151" s="100">
        <v>-25.977960585602204</v>
      </c>
      <c r="AR151" s="100">
        <v>-23.944893015141041</v>
      </c>
    </row>
    <row r="152" spans="1:44">
      <c r="A152" s="39" t="s">
        <v>110</v>
      </c>
      <c r="B152" s="31">
        <v>26.335952007335322</v>
      </c>
      <c r="C152" s="31">
        <v>28.543319962141336</v>
      </c>
      <c r="D152" s="31">
        <v>27.614291717078572</v>
      </c>
      <c r="E152" s="31">
        <v>26.612109369246031</v>
      </c>
      <c r="F152" s="31">
        <v>25.644235546466597</v>
      </c>
      <c r="G152" s="31">
        <v>23.699431974274336</v>
      </c>
      <c r="H152" s="31">
        <v>22.291583804036474</v>
      </c>
      <c r="I152" s="31">
        <v>20.5685589874615</v>
      </c>
      <c r="J152" s="31">
        <v>19.324783109835142</v>
      </c>
      <c r="K152" s="31">
        <v>17.561479959155694</v>
      </c>
      <c r="L152" s="31">
        <v>15.414453649129907</v>
      </c>
      <c r="M152" s="31">
        <v>12.075049541616696</v>
      </c>
      <c r="N152" s="31">
        <v>10.689809827364835</v>
      </c>
      <c r="O152" s="31">
        <v>9.6809707576748156</v>
      </c>
      <c r="P152" s="31">
        <v>10.900593580100688</v>
      </c>
      <c r="Q152" s="31">
        <v>12.851244724238917</v>
      </c>
      <c r="R152" s="31">
        <v>15.607466061364988</v>
      </c>
      <c r="S152" s="31">
        <v>18.023967023672661</v>
      </c>
      <c r="T152" s="31">
        <v>19.938675091297718</v>
      </c>
      <c r="U152" s="31">
        <v>20.309412455525024</v>
      </c>
      <c r="V152" s="31">
        <v>19.771655594553117</v>
      </c>
      <c r="W152" s="31">
        <v>19.333280150475829</v>
      </c>
      <c r="X152" s="31">
        <v>17.666088179868609</v>
      </c>
      <c r="Y152" s="31">
        <v>16.336771191881315</v>
      </c>
      <c r="Z152" s="31">
        <v>15.673456204547156</v>
      </c>
      <c r="AA152" s="31">
        <v>15.273221292994599</v>
      </c>
      <c r="AB152" s="31">
        <v>12.3212179427133</v>
      </c>
      <c r="AC152" s="31">
        <v>11.486236846669716</v>
      </c>
      <c r="AD152" s="31">
        <v>10.474825392120845</v>
      </c>
      <c r="AE152" s="31">
        <v>11.903205656030057</v>
      </c>
      <c r="AF152" s="31">
        <v>9.9569505420371929</v>
      </c>
      <c r="AG152" s="31">
        <v>10.017586520330866</v>
      </c>
      <c r="AH152" s="31">
        <v>9.9414119189606946</v>
      </c>
      <c r="AI152" s="100">
        <v>12.943836947630885</v>
      </c>
      <c r="AJ152" s="100">
        <v>15.733894467897755</v>
      </c>
      <c r="AK152" s="100">
        <v>16.605117802286291</v>
      </c>
      <c r="AL152" s="100">
        <v>16.412657182726253</v>
      </c>
      <c r="AM152" s="100">
        <v>21.456027784239257</v>
      </c>
      <c r="AN152" s="100">
        <v>20.419462989838056</v>
      </c>
      <c r="AO152" s="100">
        <v>20.626250921690712</v>
      </c>
      <c r="AP152" s="100">
        <v>21.097101657547345</v>
      </c>
      <c r="AQ152" s="100">
        <v>21.272640825033626</v>
      </c>
      <c r="AR152" s="100">
        <v>20.600289186469443</v>
      </c>
    </row>
    <row r="153" spans="1:44">
      <c r="A153" s="39" t="s">
        <v>111</v>
      </c>
      <c r="B153" s="31">
        <v>-4.7510383309166233</v>
      </c>
      <c r="C153" s="31">
        <v>-6.3057884490370713</v>
      </c>
      <c r="D153" s="31">
        <v>-5.8932643534404399</v>
      </c>
      <c r="E153" s="31">
        <v>-5.3466389431452361</v>
      </c>
      <c r="F153" s="31">
        <v>-4.6723694816618613</v>
      </c>
      <c r="G153" s="31">
        <v>-3.9916677159614542</v>
      </c>
      <c r="H153" s="31">
        <v>-3.354068212005846</v>
      </c>
      <c r="I153" s="31">
        <v>-2.5947657957455501</v>
      </c>
      <c r="J153" s="31">
        <v>-2.4528141615169829</v>
      </c>
      <c r="K153" s="31">
        <v>-2.2297041978763179</v>
      </c>
      <c r="L153" s="31">
        <v>-2.3897546299449899</v>
      </c>
      <c r="M153" s="31">
        <v>-3.3970441522296118</v>
      </c>
      <c r="N153" s="31">
        <v>-3.7232717179865529</v>
      </c>
      <c r="O153" s="31">
        <v>-3.9714924719578804</v>
      </c>
      <c r="P153" s="31">
        <v>-4.1272119771573115</v>
      </c>
      <c r="Q153" s="31">
        <v>-4.1783771294903769</v>
      </c>
      <c r="R153" s="31">
        <v>-4.1443475403100738</v>
      </c>
      <c r="S153" s="31">
        <v>-1.0659136550505253</v>
      </c>
      <c r="T153" s="31">
        <v>-0.95113043787191465</v>
      </c>
      <c r="U153" s="31">
        <v>-0.82778996649338965</v>
      </c>
      <c r="V153" s="31">
        <v>-0.95978454067907859</v>
      </c>
      <c r="W153" s="31">
        <v>-0.84357299327676116</v>
      </c>
      <c r="X153" s="31">
        <v>-0.88302056906497661</v>
      </c>
      <c r="Y153" s="31">
        <v>-1.3684953038250824</v>
      </c>
      <c r="Z153" s="31">
        <v>-1.3714792404320766</v>
      </c>
      <c r="AA153" s="31">
        <v>-1.3287620805069817</v>
      </c>
      <c r="AB153" s="31">
        <v>-2.5542714696936271</v>
      </c>
      <c r="AC153" s="31">
        <v>-0.77339475843169136</v>
      </c>
      <c r="AD153" s="31">
        <v>-6.0303301952548054</v>
      </c>
      <c r="AE153" s="31">
        <v>-1.3139380280162931</v>
      </c>
      <c r="AF153" s="31">
        <v>-1.0304120888935584</v>
      </c>
      <c r="AG153" s="31">
        <v>-0.43966773930812741</v>
      </c>
      <c r="AH153" s="31">
        <v>-0.42965809115197034</v>
      </c>
      <c r="AI153" s="100">
        <v>0.56398420297336527</v>
      </c>
      <c r="AJ153" s="100">
        <v>-1.7167872067809278</v>
      </c>
      <c r="AK153" s="100">
        <v>-3.035833911294513</v>
      </c>
      <c r="AL153" s="100">
        <v>-2.486100988838631</v>
      </c>
      <c r="AM153" s="100">
        <v>-3.0325247194428107</v>
      </c>
      <c r="AN153" s="100">
        <v>-4.1291903485412549</v>
      </c>
      <c r="AO153" s="100">
        <v>-4.7378207910665884</v>
      </c>
      <c r="AP153" s="100">
        <v>-4.951949954999189</v>
      </c>
      <c r="AQ153" s="100">
        <v>-4.7530323884126027</v>
      </c>
      <c r="AR153" s="100">
        <v>-5.24480025048884</v>
      </c>
    </row>
    <row r="154" spans="1:44">
      <c r="A154" s="39" t="s">
        <v>27</v>
      </c>
      <c r="B154" s="31">
        <v>0.53453614271894867</v>
      </c>
      <c r="C154" s="31">
        <v>0.52507748183328207</v>
      </c>
      <c r="D154" s="31">
        <v>0.54392953204694883</v>
      </c>
      <c r="E154" s="31">
        <v>0.56206031092161557</v>
      </c>
      <c r="F154" s="31">
        <v>0.57703872841494863</v>
      </c>
      <c r="G154" s="31">
        <v>0.5841522648532822</v>
      </c>
      <c r="H154" s="31">
        <v>0.57178059109494861</v>
      </c>
      <c r="I154" s="31">
        <v>0.57605294152828201</v>
      </c>
      <c r="J154" s="31">
        <v>0.58668064776028206</v>
      </c>
      <c r="K154" s="31">
        <v>0.58976726550028202</v>
      </c>
      <c r="L154" s="31">
        <v>0.57610073039261533</v>
      </c>
      <c r="M154" s="31">
        <v>0.46836317055661536</v>
      </c>
      <c r="N154" s="31">
        <v>0.44443126090561536</v>
      </c>
      <c r="O154" s="31">
        <v>0.42486922929061544</v>
      </c>
      <c r="P154" s="31">
        <v>0.42206155349861546</v>
      </c>
      <c r="Q154" s="31">
        <v>0.41568614396461534</v>
      </c>
      <c r="R154" s="31">
        <v>0.40975423112361536</v>
      </c>
      <c r="S154" s="31">
        <v>0.41080826791928204</v>
      </c>
      <c r="T154" s="31">
        <v>1.053769697363282</v>
      </c>
      <c r="U154" s="31">
        <v>1.0297398658604977</v>
      </c>
      <c r="V154" s="31">
        <v>1.024586522420831</v>
      </c>
      <c r="W154" s="31">
        <v>0.94210668570416445</v>
      </c>
      <c r="X154" s="31">
        <v>0.9371103857938311</v>
      </c>
      <c r="Y154" s="31">
        <v>0.96950354551249773</v>
      </c>
      <c r="Z154" s="31">
        <v>1.1528330759888308</v>
      </c>
      <c r="AA154" s="31">
        <v>1.4442925874884978</v>
      </c>
      <c r="AB154" s="31">
        <v>2.5169789006585801</v>
      </c>
      <c r="AC154" s="31">
        <v>2.1994422432135798</v>
      </c>
      <c r="AD154" s="31">
        <v>1.9358079621822468</v>
      </c>
      <c r="AE154" s="31">
        <v>1.7225319780835802</v>
      </c>
      <c r="AF154" s="31">
        <v>1.4987737477272467</v>
      </c>
      <c r="AG154" s="31">
        <v>1.3887069595269135</v>
      </c>
      <c r="AH154" s="31">
        <v>1.3422976305949132</v>
      </c>
      <c r="AI154" s="100">
        <v>0.59757305357575752</v>
      </c>
      <c r="AJ154" s="100">
        <v>0.61678873008644641</v>
      </c>
      <c r="AK154" s="100">
        <v>0.70624442167127199</v>
      </c>
      <c r="AL154" s="100">
        <v>0.66820421667015739</v>
      </c>
      <c r="AM154" s="100">
        <v>0.7129338671724943</v>
      </c>
      <c r="AN154" s="100">
        <v>0.66116807193379135</v>
      </c>
      <c r="AO154" s="100">
        <v>0.70376465679749289</v>
      </c>
      <c r="AP154" s="100">
        <v>0.76796818258410215</v>
      </c>
      <c r="AQ154" s="100">
        <v>0.77816917957459852</v>
      </c>
      <c r="AR154" s="100">
        <v>0.73281956429310802</v>
      </c>
    </row>
    <row r="155" spans="1:44">
      <c r="A155" s="39" t="s">
        <v>28</v>
      </c>
      <c r="B155" s="31">
        <v>5.579457494028647</v>
      </c>
      <c r="C155" s="31">
        <v>5.9661199940129643</v>
      </c>
      <c r="D155" s="31">
        <v>6.0619390528243526</v>
      </c>
      <c r="E155" s="31">
        <v>5.8773370425912033</v>
      </c>
      <c r="F155" s="31">
        <v>5.5834204468383994</v>
      </c>
      <c r="G155" s="31">
        <v>5.2774739923602603</v>
      </c>
      <c r="H155" s="31">
        <v>5.2581832667987882</v>
      </c>
      <c r="I155" s="31">
        <v>5.2367261288876508</v>
      </c>
      <c r="J155" s="31">
        <v>5.2376932304275119</v>
      </c>
      <c r="K155" s="31">
        <v>5.2773685279633726</v>
      </c>
      <c r="L155" s="31">
        <v>5.2583683486795669</v>
      </c>
      <c r="M155" s="31">
        <v>5.5839540345824297</v>
      </c>
      <c r="N155" s="31">
        <v>5.63377444122629</v>
      </c>
      <c r="O155" s="31">
        <v>5.6459888252028181</v>
      </c>
      <c r="P155" s="31">
        <v>5.6976616902107189</v>
      </c>
      <c r="Q155" s="31">
        <v>5.7624152493416627</v>
      </c>
      <c r="R155" s="31">
        <v>5.8508672612963064</v>
      </c>
      <c r="S155" s="31">
        <v>6.4299827054032423</v>
      </c>
      <c r="T155" s="31">
        <v>6.6235635651588787</v>
      </c>
      <c r="U155" s="31">
        <v>7.223941528101399</v>
      </c>
      <c r="V155" s="31">
        <v>7.2536848379971701</v>
      </c>
      <c r="W155" s="31">
        <v>7.4918704261529649</v>
      </c>
      <c r="X155" s="31">
        <v>7.5577241691221095</v>
      </c>
      <c r="Y155" s="31">
        <v>7.0600153179572844</v>
      </c>
      <c r="Z155" s="31">
        <v>6.6202908979357922</v>
      </c>
      <c r="AA155" s="31">
        <v>6.5160175358546351</v>
      </c>
      <c r="AB155" s="31">
        <v>6.4770788902269327</v>
      </c>
      <c r="AC155" s="31">
        <v>6.1578185705346087</v>
      </c>
      <c r="AD155" s="31">
        <v>6.0072155219789503</v>
      </c>
      <c r="AE155" s="31">
        <v>5.8016919849062916</v>
      </c>
      <c r="AF155" s="31">
        <v>5.6772792113559678</v>
      </c>
      <c r="AG155" s="31">
        <v>5.7595641494716414</v>
      </c>
      <c r="AH155" s="31">
        <v>5.9347764956579843</v>
      </c>
      <c r="AI155" s="100">
        <v>5.7995332790187337</v>
      </c>
      <c r="AJ155" s="100">
        <v>5.7676818610689189</v>
      </c>
      <c r="AK155" s="100">
        <v>5.4797140504767885</v>
      </c>
      <c r="AL155" s="100">
        <v>5.4891430681019404</v>
      </c>
      <c r="AM155" s="100">
        <v>4.4121507255470505</v>
      </c>
      <c r="AN155" s="100">
        <v>4.303375411073759</v>
      </c>
      <c r="AO155" s="100">
        <v>4.2979448946873351</v>
      </c>
      <c r="AP155" s="100">
        <v>4.4833386261889867</v>
      </c>
      <c r="AQ155" s="100">
        <v>4.1331261704502689</v>
      </c>
      <c r="AR155" s="100">
        <v>4.1620381690975652</v>
      </c>
    </row>
    <row r="156" spans="1:44">
      <c r="A156" s="39" t="s">
        <v>112</v>
      </c>
      <c r="B156" s="31">
        <v>0.12730181784866668</v>
      </c>
      <c r="C156" s="31">
        <v>0.12300807862933334</v>
      </c>
      <c r="D156" s="31">
        <v>0.12222231677900001</v>
      </c>
      <c r="E156" s="31">
        <v>0.12137235684733334</v>
      </c>
      <c r="F156" s="31">
        <v>0.11476831685733335</v>
      </c>
      <c r="G156" s="31">
        <v>0.11783897911266666</v>
      </c>
      <c r="H156" s="31">
        <v>0.11624865823066667</v>
      </c>
      <c r="I156" s="31">
        <v>0.12072752132533332</v>
      </c>
      <c r="J156" s="31">
        <v>0.12382782474066663</v>
      </c>
      <c r="K156" s="31">
        <v>0.12655791984766671</v>
      </c>
      <c r="L156" s="31">
        <v>0.124446586016</v>
      </c>
      <c r="M156" s="31">
        <v>0.12050018784433332</v>
      </c>
      <c r="N156" s="31">
        <v>0.12055404838033335</v>
      </c>
      <c r="O156" s="31">
        <v>0.11959165614233332</v>
      </c>
      <c r="P156" s="31">
        <v>0.11875172744799999</v>
      </c>
      <c r="Q156" s="31">
        <v>0.11492790766733332</v>
      </c>
      <c r="R156" s="31">
        <v>0.11173756137133334</v>
      </c>
      <c r="S156" s="31">
        <v>0.11150282921699999</v>
      </c>
      <c r="T156" s="31">
        <v>0.12142448883433335</v>
      </c>
      <c r="U156" s="31">
        <v>0.12130198030899998</v>
      </c>
      <c r="V156" s="31">
        <v>0.12443651359733333</v>
      </c>
      <c r="W156" s="31">
        <v>0.12282342754833334</v>
      </c>
      <c r="X156" s="31">
        <v>0.12181178424266667</v>
      </c>
      <c r="Y156" s="31">
        <v>0.12205425868766666</v>
      </c>
      <c r="Z156" s="31">
        <v>0.12744228553666667</v>
      </c>
      <c r="AA156" s="31">
        <v>0.14417822359433338</v>
      </c>
      <c r="AB156" s="31">
        <v>0.13945020282433332</v>
      </c>
      <c r="AC156" s="31">
        <v>0.13289321185733333</v>
      </c>
      <c r="AD156" s="31">
        <v>0.13302363207433332</v>
      </c>
      <c r="AE156" s="31">
        <v>0.12792131770166665</v>
      </c>
      <c r="AF156" s="31">
        <v>0.12486532096400001</v>
      </c>
      <c r="AG156" s="31">
        <v>0.12582071580566664</v>
      </c>
      <c r="AH156" s="31">
        <v>0.12614597831499999</v>
      </c>
      <c r="AI156" s="100">
        <v>9.9029295710490448E-2</v>
      </c>
      <c r="AJ156" s="100">
        <v>9.6461057761954877E-2</v>
      </c>
      <c r="AK156" s="100">
        <v>9.2860321140984192E-2</v>
      </c>
      <c r="AL156" s="100">
        <v>7.9324242763608527E-2</v>
      </c>
      <c r="AM156" s="100">
        <v>7.6930010910479463E-2</v>
      </c>
      <c r="AN156" s="100">
        <v>7.4362799967145343E-2</v>
      </c>
      <c r="AO156" s="100">
        <v>6.7920515551445487E-2</v>
      </c>
      <c r="AP156" s="100">
        <v>6.0016593305535E-2</v>
      </c>
      <c r="AQ156" s="100">
        <v>6.1666677327032147E-2</v>
      </c>
      <c r="AR156" s="100">
        <v>8.055100732347166E-2</v>
      </c>
    </row>
    <row r="157" spans="1:44">
      <c r="A157" s="39" t="s">
        <v>29</v>
      </c>
      <c r="B157" s="31">
        <v>-5.4010088826364573</v>
      </c>
      <c r="C157" s="31">
        <v>-5.0530244951557854</v>
      </c>
      <c r="D157" s="31">
        <v>-3.01701350398598</v>
      </c>
      <c r="E157" s="31">
        <v>-1.7494688017962565</v>
      </c>
      <c r="F157" s="31">
        <v>-2.7031285554006028</v>
      </c>
      <c r="G157" s="31">
        <v>-3.109159835103934</v>
      </c>
      <c r="H157" s="31">
        <v>-2.521471478715628</v>
      </c>
      <c r="I157" s="31">
        <v>-3.1657946217987831</v>
      </c>
      <c r="J157" s="31">
        <v>-3.761431002210696</v>
      </c>
      <c r="K157" s="31">
        <v>-3.9093892431462578</v>
      </c>
      <c r="L157" s="31">
        <v>-4.4546460860020973</v>
      </c>
      <c r="M157" s="31">
        <v>-4.1462925530463046</v>
      </c>
      <c r="N157" s="31">
        <v>-2.9498584726766115</v>
      </c>
      <c r="O157" s="31">
        <v>-2.8284861254398654</v>
      </c>
      <c r="P157" s="31">
        <v>-3.5045295915910812</v>
      </c>
      <c r="Q157" s="31">
        <v>-4.1753947849644675</v>
      </c>
      <c r="R157" s="31">
        <v>-4.3405948970752863</v>
      </c>
      <c r="S157" s="31">
        <v>-4.7912270220071909</v>
      </c>
      <c r="T157" s="31">
        <v>-3.4649543983370554</v>
      </c>
      <c r="U157" s="31">
        <v>-1.2654666759155331</v>
      </c>
      <c r="V157" s="31">
        <v>-3.1274252093920403</v>
      </c>
      <c r="W157" s="31">
        <v>-3.9534881540903375</v>
      </c>
      <c r="X157" s="31">
        <v>-2.6982053814132292</v>
      </c>
      <c r="Y157" s="31">
        <v>-2.1659719604372989</v>
      </c>
      <c r="Z157" s="31">
        <v>-1.9695062408080357</v>
      </c>
      <c r="AA157" s="31">
        <v>-1.4163529598677487</v>
      </c>
      <c r="AB157" s="31">
        <v>-1.0585956461530663</v>
      </c>
      <c r="AC157" s="31">
        <v>-1.1095216794180991</v>
      </c>
      <c r="AD157" s="31">
        <v>-0.96256406594053434</v>
      </c>
      <c r="AE157" s="31">
        <v>-0.67353431483720472</v>
      </c>
      <c r="AF157" s="31">
        <v>0.69148094808869398</v>
      </c>
      <c r="AG157" s="31">
        <v>-1.7498201321054645</v>
      </c>
      <c r="AH157" s="31">
        <v>-1.0856871728300386</v>
      </c>
      <c r="AI157" s="100">
        <v>-0.89916350650470833</v>
      </c>
      <c r="AJ157" s="100">
        <v>-0.5506157270239912</v>
      </c>
      <c r="AK157" s="100">
        <v>-8.0651549745341139E-2</v>
      </c>
      <c r="AL157" s="100">
        <v>0.20247617830704243</v>
      </c>
      <c r="AM157" s="100">
        <v>9.8536235438922024E-2</v>
      </c>
      <c r="AN157" s="100">
        <v>4.7879348130714428E-2</v>
      </c>
      <c r="AO157" s="100">
        <v>-7.5951284198922438E-3</v>
      </c>
      <c r="AP157" s="100">
        <v>-3.401932447028802E-2</v>
      </c>
      <c r="AQ157" s="100">
        <v>-0.14906150466050452</v>
      </c>
      <c r="AR157" s="100">
        <v>-0.22095141043581762</v>
      </c>
    </row>
    <row r="158" spans="1:44">
      <c r="A158" s="39" t="s">
        <v>113</v>
      </c>
      <c r="B158" s="31">
        <v>0</v>
      </c>
      <c r="C158" s="31">
        <v>0</v>
      </c>
      <c r="D158" s="31">
        <v>0</v>
      </c>
      <c r="E158" s="31">
        <v>0</v>
      </c>
      <c r="F158" s="31">
        <v>3.7664266666666668</v>
      </c>
      <c r="G158" s="31">
        <v>4.2387370000000004</v>
      </c>
      <c r="H158" s="31">
        <v>3.2963580000000006</v>
      </c>
      <c r="I158" s="31">
        <v>2.5967243333333334</v>
      </c>
      <c r="J158" s="31">
        <v>2.0741570000000005</v>
      </c>
      <c r="K158" s="31">
        <v>1.6811896666666666</v>
      </c>
      <c r="L158" s="31">
        <v>1.3834846666666669</v>
      </c>
      <c r="M158" s="31">
        <v>1.1560966666666666</v>
      </c>
      <c r="N158" s="31">
        <v>0.98093466666666662</v>
      </c>
      <c r="O158" s="31">
        <v>0.84469400000000006</v>
      </c>
      <c r="P158" s="31">
        <v>0.73778533333333329</v>
      </c>
      <c r="Q158" s="31">
        <v>0.65306966666666666</v>
      </c>
      <c r="R158" s="31">
        <v>0.58528733333333327</v>
      </c>
      <c r="S158" s="31">
        <v>0.53052433333333315</v>
      </c>
      <c r="T158" s="31">
        <v>0.48593266666666662</v>
      </c>
      <c r="U158" s="31">
        <v>0.44926033333333337</v>
      </c>
      <c r="V158" s="31">
        <v>0.41890333333333329</v>
      </c>
      <c r="W158" s="31">
        <v>0.39356666666666662</v>
      </c>
      <c r="X158" s="31">
        <v>0.37231633333333336</v>
      </c>
      <c r="Y158" s="31">
        <v>0.35438166666666665</v>
      </c>
      <c r="Z158" s="31">
        <v>0.33913333333333334</v>
      </c>
      <c r="AA158" s="31">
        <v>0.32614633333333332</v>
      </c>
      <c r="AB158" s="31">
        <v>0.31504766666666673</v>
      </c>
      <c r="AC158" s="31">
        <v>0.30553833333333336</v>
      </c>
      <c r="AD158" s="31">
        <v>0.29733766666666672</v>
      </c>
      <c r="AE158" s="31">
        <v>0.29027266666666662</v>
      </c>
      <c r="AF158" s="31">
        <v>0.2841703333333333</v>
      </c>
      <c r="AG158" s="31">
        <v>0.27889433333333336</v>
      </c>
      <c r="AH158" s="31">
        <v>0.27430466666666664</v>
      </c>
      <c r="AI158" s="100">
        <v>0.27035433333333331</v>
      </c>
      <c r="AJ158" s="100">
        <v>0.26388366666666668</v>
      </c>
      <c r="AK158" s="100">
        <v>0.25704399999999999</v>
      </c>
      <c r="AL158" s="100">
        <v>0.25385033333333334</v>
      </c>
      <c r="AM158" s="100">
        <v>0.25385033333333334</v>
      </c>
      <c r="AN158" s="100">
        <v>0.25385033333333334</v>
      </c>
      <c r="AO158" s="100">
        <v>0.25385033333333334</v>
      </c>
      <c r="AP158" s="100">
        <v>0.25385033333333334</v>
      </c>
      <c r="AQ158" s="100">
        <v>0.25385033333333334</v>
      </c>
      <c r="AR158" s="100">
        <v>0.25385033333333334</v>
      </c>
    </row>
    <row r="159" spans="1:44">
      <c r="A159" s="79" t="s">
        <v>114</v>
      </c>
      <c r="B159" s="80">
        <v>-18.289083582838114</v>
      </c>
      <c r="C159" s="80">
        <v>-18.458797598105654</v>
      </c>
      <c r="D159" s="80">
        <v>-17.279196493155872</v>
      </c>
      <c r="E159" s="80">
        <v>-21.551447361298116</v>
      </c>
      <c r="F159" s="80">
        <v>-19.337058339722276</v>
      </c>
      <c r="G159" s="80">
        <v>-22.428118643995855</v>
      </c>
      <c r="H159" s="80">
        <v>-30.03583819455989</v>
      </c>
      <c r="I159" s="80">
        <v>-31.273879419273911</v>
      </c>
      <c r="J159" s="80">
        <v>-34.512922663052919</v>
      </c>
      <c r="K159" s="80">
        <v>-39.400665713960215</v>
      </c>
      <c r="L159" s="80">
        <v>-23.057051973314781</v>
      </c>
      <c r="M159" s="80">
        <v>-37.572549214547607</v>
      </c>
      <c r="N159" s="80">
        <v>-47.310663705880408</v>
      </c>
      <c r="O159" s="80">
        <v>-51.928550164738574</v>
      </c>
      <c r="P159" s="80">
        <v>-53.738742343653541</v>
      </c>
      <c r="Q159" s="80">
        <v>-52.785060763562271</v>
      </c>
      <c r="R159" s="80">
        <v>-52.134493105047589</v>
      </c>
      <c r="S159" s="80">
        <v>-47.820693673570204</v>
      </c>
      <c r="T159" s="80">
        <v>-46.527047108280577</v>
      </c>
      <c r="U159" s="80">
        <v>-34.971553363468615</v>
      </c>
      <c r="V159" s="80">
        <v>-36.640278785293887</v>
      </c>
      <c r="W159" s="80">
        <v>-37.710259048898472</v>
      </c>
      <c r="X159" s="80">
        <v>-41.204587940670741</v>
      </c>
      <c r="Y159" s="80">
        <v>-46.027672091307679</v>
      </c>
      <c r="Z159" s="80">
        <v>-39.688287076917149</v>
      </c>
      <c r="AA159" s="80">
        <v>-36.367189546231664</v>
      </c>
      <c r="AB159" s="80">
        <v>-30.310343308726694</v>
      </c>
      <c r="AC159" s="80">
        <v>-19.444307120145108</v>
      </c>
      <c r="AD159" s="80">
        <v>-24.382457568838547</v>
      </c>
      <c r="AE159" s="80">
        <v>-18.611424715966596</v>
      </c>
      <c r="AF159" s="80">
        <v>-21.354158136859631</v>
      </c>
      <c r="AG159" s="80">
        <v>-19.045193918143728</v>
      </c>
      <c r="AH159" s="80">
        <v>-18.499748838313884</v>
      </c>
      <c r="AI159" s="109">
        <v>-13.251473518186472</v>
      </c>
      <c r="AJ159" s="109">
        <f>SUM(AJ151:AJ158)</f>
        <v>-11.793116428867641</v>
      </c>
      <c r="AK159" s="109">
        <f>SUM(AK151:AK158)</f>
        <v>-8.5878283321867563</v>
      </c>
      <c r="AL159" s="109">
        <f t="shared" ref="AL159:AR159" si="28">SUM(AL151:AL158)</f>
        <v>-6.4808924487126749</v>
      </c>
      <c r="AM159" s="109">
        <f t="shared" si="28"/>
        <v>-7.0000074526532847</v>
      </c>
      <c r="AN159" s="109">
        <f t="shared" si="28"/>
        <v>-6.9484563247446012</v>
      </c>
      <c r="AO159" s="109">
        <f t="shared" si="28"/>
        <v>-5.7779358699470365</v>
      </c>
      <c r="AP159" s="109">
        <f t="shared" si="28"/>
        <v>-5.2584350031999216</v>
      </c>
      <c r="AQ159" s="109">
        <f t="shared" si="28"/>
        <v>-4.3806012929564515</v>
      </c>
      <c r="AR159" s="109">
        <f t="shared" si="28"/>
        <v>-3.5810964155487772</v>
      </c>
    </row>
  </sheetData>
  <mergeCells count="25">
    <mergeCell ref="AI149:AR149"/>
    <mergeCell ref="AI111:AR111"/>
    <mergeCell ref="AI93:AR93"/>
    <mergeCell ref="AI76:AR76"/>
    <mergeCell ref="AI68:AR68"/>
    <mergeCell ref="A148:AB148"/>
    <mergeCell ref="AP106:AP107"/>
    <mergeCell ref="AN106:AN107"/>
    <mergeCell ref="AK106:AK107"/>
    <mergeCell ref="AI106:AI107"/>
    <mergeCell ref="AJ106:AJ107"/>
    <mergeCell ref="AO106:AO107"/>
    <mergeCell ref="AM106:AM107"/>
    <mergeCell ref="AL106:AL107"/>
    <mergeCell ref="AZ109:AZ110"/>
    <mergeCell ref="AQ106:AQ107"/>
    <mergeCell ref="AR106:AR107"/>
    <mergeCell ref="AI21:AR21"/>
    <mergeCell ref="A2:AC2"/>
    <mergeCell ref="A92:AB92"/>
    <mergeCell ref="AI5:AR5"/>
    <mergeCell ref="AI18:AR18"/>
    <mergeCell ref="AI16:AR16"/>
    <mergeCell ref="AI40:AR40"/>
    <mergeCell ref="AI23:AR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273375"/>
  </sheetPr>
  <dimension ref="A1"/>
  <sheetViews>
    <sheetView showGridLines="0"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BBE6"/>
  </sheetPr>
  <dimension ref="A1:T67"/>
  <sheetViews>
    <sheetView showGridLines="0" zoomScale="70" zoomScaleNormal="70" workbookViewId="0">
      <pane ySplit="6" topLeftCell="A7" activePane="bottomLeft" state="frozen"/>
      <selection pane="bottomLeft" activeCell="E48" sqref="E48"/>
    </sheetView>
  </sheetViews>
  <sheetFormatPr baseColWidth="10" defaultRowHeight="14.4" outlineLevelRow="4"/>
  <cols>
    <col min="1" max="1" width="3.109375" customWidth="1"/>
    <col min="2" max="2" width="3.109375" style="114" customWidth="1"/>
    <col min="3" max="3" width="3.109375" customWidth="1"/>
    <col min="4" max="4" width="7.33203125" customWidth="1"/>
    <col min="5" max="5" width="32.6640625" bestFit="1" customWidth="1"/>
    <col min="8" max="8" width="11.5546875" customWidth="1"/>
    <col min="10" max="10" width="11.5546875" customWidth="1"/>
    <col min="13" max="13" width="10.88671875" customWidth="1"/>
    <col min="14" max="14" width="12.5546875" customWidth="1"/>
    <col min="15" max="15" width="13.5546875" customWidth="1"/>
    <col min="16" max="16" width="13" customWidth="1"/>
  </cols>
  <sheetData>
    <row r="1" spans="1:20" ht="25.95" customHeight="1" thickBot="1">
      <c r="D1" s="368"/>
      <c r="E1" s="619" t="s">
        <v>594</v>
      </c>
      <c r="F1" s="619"/>
      <c r="G1" s="619"/>
      <c r="H1" s="619"/>
      <c r="I1" s="619"/>
      <c r="J1" s="619"/>
      <c r="K1" s="619"/>
      <c r="L1" s="619"/>
      <c r="M1" s="619"/>
    </row>
    <row r="2" spans="1:20" ht="10.95" customHeight="1" thickTop="1">
      <c r="D2" s="2"/>
      <c r="E2" s="150"/>
      <c r="F2" s="150"/>
      <c r="G2" s="150"/>
      <c r="H2" s="150"/>
      <c r="I2" s="150"/>
      <c r="J2" s="150"/>
      <c r="K2" s="150"/>
      <c r="L2" s="150"/>
      <c r="M2" s="150"/>
    </row>
    <row r="3" spans="1:20" ht="28.95" customHeight="1">
      <c r="D3" s="2"/>
      <c r="E3" s="620" t="str">
        <f>HYPERLINK("#Cadrage!E"&amp;TEXT(MATCH(E8,C1:C901,0),"#"),E8)</f>
        <v>Hypothèses</v>
      </c>
      <c r="F3" s="621"/>
      <c r="G3" s="621"/>
      <c r="H3" s="621"/>
      <c r="I3" s="621"/>
      <c r="J3" s="622"/>
      <c r="K3" s="622"/>
      <c r="L3" s="622"/>
      <c r="M3" s="622"/>
      <c r="O3" s="623" t="s">
        <v>181</v>
      </c>
      <c r="P3" s="623"/>
      <c r="Q3" s="623"/>
      <c r="R3" s="628" t="s">
        <v>137</v>
      </c>
      <c r="S3" s="628"/>
      <c r="T3" s="628"/>
    </row>
    <row r="4" spans="1:20" ht="26.4" customHeight="1">
      <c r="D4" s="184"/>
      <c r="E4" s="357" t="str">
        <f>IFERROR(IF(Moteur!$D$14=3,HYPERLINK("#"&amp;$E$1&amp;"!E"&amp;TEXT(MATCH(Moteur!F26,$C1:$C1125,0),"#"),Moteur!F26),IF(Moteur!$D$14=2,HYPERLINK("#"&amp;$E$1&amp;"!E"&amp;TEXT(MATCH(Moteur!F27,$C1:$C1125,0),"#"),Moteur!F27),HYPERLINK("#"&amp;$E$1&amp;"!E"&amp;TEXT(MATCH(Moteur!F28,$C1:$C1125,0),"#"),Moteur!F28))),"")</f>
        <v>Population</v>
      </c>
      <c r="F4" s="624" t="str">
        <f>IFERROR(IF(Moteur!$D$14=3,HYPERLINK("#"&amp;$E$1&amp;"!E"&amp;TEXT(MATCH(Moteur!G26,$C1:$C1125,0),"#"),Moteur!G26),IF(Moteur!$D$14=2,HYPERLINK("#"&amp;$E$1&amp;"!E"&amp;TEXT(MATCH(Moteur!G27,$C1:$C1125,0),"#"),Moteur!G27),HYPERLINK("#"&amp;$E$1&amp;"!E"&amp;TEXT(MATCH(Moteur!G28,$C1:$C1125,0),"#"),Moteur!G28))),"")</f>
        <v>PIB</v>
      </c>
      <c r="G4" s="625"/>
      <c r="H4" s="624" t="str">
        <f>IFERROR(IF(Moteur!$D$14=3,HYPERLINK("#"&amp;$E$1&amp;"!E"&amp;TEXT(MATCH(Moteur!H26,$C1:$C1125,0),"#"),Moteur!H26),IF(Moteur!$D$14=2,HYPERLINK("#"&amp;$E$1&amp;"!E"&amp;TEXT(MATCH(Moteur!H27,$C1:$C1125,0),"#"),Moteur!H27),HYPERLINK("#"&amp;$E$1&amp;"!E"&amp;TEXT(MATCH(Moteur!H28,$C1:$C1125,0),"#"),Moteur!H28))),"")</f>
        <v>Prix des énergies</v>
      </c>
      <c r="I4" s="625"/>
      <c r="J4" s="626"/>
      <c r="K4" s="626"/>
      <c r="L4" s="626"/>
      <c r="M4" s="626"/>
      <c r="O4" s="359" t="str">
        <f>IF(Moteur!$D$6=3,HYPERLINK("#"&amp;Moteur!F5&amp;"!E1",Moteur!F5),IF(Moteur!$D$6=2,HYPERLINK("#"&amp;Moteur!F6&amp;"!E1",Moteur!F6),HYPERLINK("#"&amp;Moteur!F7&amp;"!E1",Moteur!F7)))</f>
        <v>Cadrage</v>
      </c>
      <c r="P4" s="359" t="str">
        <f>IF(Moteur!$D$6=3,HYPERLINK("#"&amp;Moteur!G5&amp;"!E1",Moteur!G5),IF(Moteur!$D$6=2,HYPERLINK("#"&amp;Moteur!G6&amp;"!E1",Moteur!G6),HYPERLINK("#"&amp;Moteur!G7&amp;"!E1",Moteur!G7)))</f>
        <v>Industrie</v>
      </c>
      <c r="Q4" s="360" t="str">
        <f>IF(Moteur!$D$6=3,HYPERLINK("#"&amp;Moteur!H5&amp;"!E1",Moteur!H5),IF(Moteur!$D$6=2,HYPERLINK("#"&amp;Moteur!H6&amp;"!E1",Moteur!H6),HYPERLINK("#"&amp;Moteur!H7&amp;"!E1",Moteur!H7)))</f>
        <v>Agriculture</v>
      </c>
      <c r="R4" s="362" t="str">
        <f>IF(Moteur!$D$6=3,HYPERLINK("#"&amp;Moteur!J5&amp;"!E1",Moteur!J5),IF(Moteur!$D$6=2,HYPERLINK("#"&amp;Moteur!J5&amp;"!E1",Moteur!J5),HYPERLINK("#"&amp;Moteur!J5&amp;"!E1",Moteur!J5)))</f>
        <v>Bilans</v>
      </c>
      <c r="S4" s="358" t="str">
        <f>IF(Moteur!$D$6=3,HYPERLINK("#"&amp;Moteur!K5&amp;"!E1",Moteur!K5),IF(Moteur!$D$6=2,HYPERLINK("#"&amp;Moteur!K5&amp;"!E1",Moteur!K5),HYPERLINK("#"&amp;Moteur!K5&amp;"!E1",Moteur!K5)))</f>
        <v>GES</v>
      </c>
      <c r="T4" s="478">
        <f>IF(Moteur!$D$6=3,HYPERLINK("#"&amp;Moteur!L5&amp;"!E1",Moteur!L5),IF(Moteur!$D$6=2,HYPERLINK("#"&amp;Moteur!L5&amp;"!E1",Moteur!L5),HYPERLINK("#"&amp;Moteur!L5&amp;"!E1",Moteur!L5)))</f>
        <v>0</v>
      </c>
    </row>
    <row r="5" spans="1:20" ht="26.4" customHeight="1">
      <c r="D5" s="184"/>
      <c r="E5" s="357"/>
      <c r="F5" s="624"/>
      <c r="G5" s="625"/>
      <c r="H5" s="624"/>
      <c r="I5" s="625"/>
      <c r="J5" s="626"/>
      <c r="K5" s="626"/>
      <c r="L5" s="626"/>
      <c r="M5" s="626"/>
      <c r="O5" s="359" t="str">
        <f>IF(Moteur!$D$6=3,HYPERLINK("#"&amp;Moteur!F6&amp;"!E1",Moteur!F6),IF(Moteur!$D$6=2,HYPERLINK("#"&amp;Moteur!F7&amp;"!E1",Moteur!F7),""))</f>
        <v>Energie</v>
      </c>
      <c r="P5" s="359" t="str">
        <f>IF(Moteur!$D$6=3,HYPERLINK("#"&amp;Moteur!G6&amp;"!E1",Moteur!G6),IF(Moteur!$D$6=2,HYPERLINK("#"&amp;Moteur!G7&amp;"!E1",Moteur!G7),""))</f>
        <v>Transports</v>
      </c>
      <c r="Q5" s="361" t="str">
        <f>IF(Moteur!$D$6=3,HYPERLINK("#"&amp;Moteur!H6&amp;"!E1",Moteur!H6),IF(Moteur!$D$6=2,HYPERLINK("#"&amp;Moteur!H7&amp;"!E1",Moteur!H7),""))</f>
        <v>Déchets</v>
      </c>
      <c r="R5" s="479">
        <f>IF(Moteur!$D$6=3,HYPERLINK("#"&amp;Moteur!J6&amp;"!E1",Moteur!J6),IF(Moteur!$D$6=2,HYPERLINK("#"&amp;Moteur!J7&amp;"!E1",Moteur!J6),HYPERLINK("#"&amp;Moteur!J5&amp;"!E1",Moteur!J6)))</f>
        <v>0</v>
      </c>
      <c r="S5" s="358" t="str">
        <f>IF(Moteur!$D$6=3,HYPERLINK("#"&amp;Moteur!K6&amp;"!E1",Moteur!K6),IF(Moteur!$D$6=2,HYPERLINK("#"&amp;Moteur!K7&amp;"!E1",Moteur!K6),HYPERLINK("#"&amp;Moteur!K5&amp;"!E1",Moteur!K6)))</f>
        <v xml:space="preserve"> </v>
      </c>
      <c r="T5" s="358" t="str">
        <f>IF(Moteur!$D$6=3,HYPERLINK("#"&amp;Moteur!L6&amp;"!E1",Moteur!L6),IF(Moteur!$D$6=2,HYPERLINK("#"&amp;Moteur!L7&amp;"!E1",Moteur!L6),HYPERLINK("#"&amp;Moteur!L5&amp;"!E1",Moteur!L6)))</f>
        <v xml:space="preserve"> </v>
      </c>
    </row>
    <row r="6" spans="1:20" ht="11.4" customHeight="1">
      <c r="E6" s="152"/>
      <c r="F6" s="152"/>
      <c r="G6" s="152"/>
      <c r="H6" s="152"/>
      <c r="I6" s="152"/>
      <c r="J6" s="152"/>
      <c r="K6" s="152"/>
    </row>
    <row r="8" spans="1:20" ht="32.4" customHeight="1" thickBot="1">
      <c r="A8" s="363"/>
      <c r="C8" s="151" t="str">
        <f>IF(ISBLANK(E8),IF(ISBLANK(F8),"",F8),E8)</f>
        <v>Hypothèses</v>
      </c>
      <c r="D8" s="369"/>
      <c r="E8" s="617" t="s">
        <v>134</v>
      </c>
      <c r="F8" s="617"/>
      <c r="G8" s="617"/>
      <c r="H8" s="617"/>
      <c r="I8" s="617"/>
      <c r="J8" s="617"/>
      <c r="K8" s="617"/>
      <c r="L8" s="617"/>
      <c r="M8" s="369"/>
      <c r="N8" s="149"/>
    </row>
    <row r="9" spans="1:20" ht="15" thickTop="1">
      <c r="A9" s="363"/>
      <c r="C9" s="151" t="str">
        <f t="shared" ref="C9:C46" si="0">IF(ISBLANK(E9),IF(ISBLANK(F9),"",F9),E9)</f>
        <v/>
      </c>
      <c r="D9" s="3"/>
      <c r="E9" s="3"/>
      <c r="F9" s="3"/>
      <c r="G9" s="3"/>
      <c r="H9" s="3"/>
      <c r="I9" s="3"/>
      <c r="J9" s="3"/>
      <c r="K9" s="3"/>
      <c r="L9" s="3"/>
      <c r="M9" s="3"/>
    </row>
    <row r="10" spans="1:20" ht="19.2">
      <c r="A10" s="363"/>
      <c r="C10" s="151" t="str">
        <f t="shared" si="0"/>
        <v/>
      </c>
      <c r="D10" s="111"/>
      <c r="E10" s="124"/>
      <c r="F10" s="111"/>
      <c r="G10" s="111"/>
      <c r="H10" s="111"/>
      <c r="I10" s="111"/>
      <c r="J10" s="111"/>
      <c r="K10" s="111"/>
      <c r="L10" s="111"/>
      <c r="M10" s="111"/>
      <c r="N10" s="2"/>
    </row>
    <row r="11" spans="1:20">
      <c r="A11" s="363"/>
      <c r="C11" s="151" t="str">
        <f t="shared" si="0"/>
        <v/>
      </c>
      <c r="D11" s="111"/>
      <c r="E11" s="111"/>
      <c r="F11" s="111"/>
      <c r="G11" s="111"/>
      <c r="H11" s="111"/>
      <c r="I11" s="111"/>
      <c r="J11" s="111"/>
      <c r="K11" s="111"/>
      <c r="L11" s="111"/>
      <c r="M11" s="111"/>
    </row>
    <row r="12" spans="1:20" ht="21" customHeight="1">
      <c r="A12" s="363"/>
      <c r="C12" s="151" t="str">
        <f t="shared" si="0"/>
        <v/>
      </c>
      <c r="D12" s="111"/>
      <c r="E12" s="613"/>
      <c r="F12" s="614"/>
      <c r="G12" s="614"/>
      <c r="H12" s="614"/>
      <c r="I12" s="614"/>
      <c r="J12" s="614"/>
      <c r="K12" s="614"/>
      <c r="L12" s="614"/>
      <c r="M12" s="111"/>
    </row>
    <row r="13" spans="1:20" ht="14.4" customHeight="1">
      <c r="A13" s="363"/>
      <c r="C13" s="151" t="str">
        <f t="shared" si="0"/>
        <v/>
      </c>
      <c r="D13" s="112"/>
      <c r="E13" s="113"/>
      <c r="F13" s="113"/>
      <c r="G13" s="113"/>
      <c r="H13" s="113"/>
      <c r="I13" s="113"/>
      <c r="J13" s="113"/>
      <c r="K13" s="113"/>
      <c r="L13" s="113"/>
      <c r="M13" s="3"/>
    </row>
    <row r="14" spans="1:20" ht="28.8" thickBot="1">
      <c r="A14" s="363"/>
      <c r="B14" s="364"/>
      <c r="C14" s="151" t="str">
        <f t="shared" si="0"/>
        <v>Population</v>
      </c>
      <c r="D14" s="369"/>
      <c r="E14" s="370"/>
      <c r="F14" s="617" t="s">
        <v>119</v>
      </c>
      <c r="G14" s="617"/>
      <c r="H14" s="617"/>
      <c r="I14" s="617"/>
      <c r="J14" s="617"/>
      <c r="K14" s="617"/>
      <c r="L14" s="617"/>
      <c r="M14" s="617"/>
    </row>
    <row r="15" spans="1:20" ht="15" thickTop="1">
      <c r="A15" s="363"/>
      <c r="B15" s="364"/>
      <c r="C15" s="151" t="str">
        <f t="shared" si="0"/>
        <v/>
      </c>
    </row>
    <row r="16" spans="1:20" outlineLevel="1">
      <c r="A16" s="363"/>
      <c r="B16" s="364"/>
      <c r="C16" s="151" t="str">
        <f t="shared" si="0"/>
        <v/>
      </c>
      <c r="D16" s="115"/>
      <c r="E16" s="115"/>
      <c r="F16" s="115"/>
      <c r="G16" s="115"/>
      <c r="H16" s="115"/>
      <c r="I16" s="115"/>
      <c r="J16" s="115"/>
      <c r="K16" s="115"/>
      <c r="L16" s="115"/>
      <c r="M16" s="115"/>
    </row>
    <row r="17" spans="1:13" ht="19.2" outlineLevel="1">
      <c r="A17" s="363"/>
      <c r="B17" s="364"/>
      <c r="C17" s="151" t="str">
        <f t="shared" si="0"/>
        <v xml:space="preserve">Commentaire
IGCE = 
Diffus = </v>
      </c>
      <c r="D17" s="115"/>
      <c r="E17" s="611" t="s">
        <v>140</v>
      </c>
      <c r="F17" s="612"/>
      <c r="G17" s="612"/>
      <c r="H17" s="612"/>
      <c r="I17" s="612"/>
      <c r="J17" s="612"/>
      <c r="K17" s="612"/>
      <c r="L17" s="612"/>
      <c r="M17" s="115"/>
    </row>
    <row r="18" spans="1:13" ht="17.399999999999999" customHeight="1" outlineLevel="1">
      <c r="A18" s="363"/>
      <c r="B18" s="364"/>
      <c r="C18" s="151" t="str">
        <f t="shared" si="0"/>
        <v>Les hypothèses relatives à la croissance de la population sont issues de l'INSEE.</v>
      </c>
      <c r="D18" s="115"/>
      <c r="E18" s="613" t="s">
        <v>841</v>
      </c>
      <c r="F18" s="614"/>
      <c r="G18" s="614"/>
      <c r="H18" s="614"/>
      <c r="I18" s="614"/>
      <c r="J18" s="614"/>
      <c r="K18" s="614"/>
      <c r="L18" s="614"/>
      <c r="M18" s="115"/>
    </row>
    <row r="19" spans="1:13" outlineLevel="1">
      <c r="A19" s="363"/>
      <c r="B19" s="364"/>
      <c r="C19" s="151" t="str">
        <f t="shared" si="0"/>
        <v/>
      </c>
      <c r="D19" s="115"/>
      <c r="E19" s="115"/>
      <c r="F19" s="115"/>
      <c r="G19" s="115"/>
      <c r="H19" s="115"/>
      <c r="I19" s="115"/>
      <c r="J19" s="115"/>
      <c r="K19" s="115"/>
      <c r="L19" s="115"/>
      <c r="M19" s="115"/>
    </row>
    <row r="20" spans="1:13" ht="15" outlineLevel="1" thickBot="1">
      <c r="A20" s="363"/>
      <c r="B20" s="364"/>
      <c r="C20" s="151" t="str">
        <f t="shared" si="0"/>
        <v>Evolution de la population (millions)</v>
      </c>
      <c r="D20" s="115"/>
      <c r="E20" s="615" t="s">
        <v>599</v>
      </c>
      <c r="F20" s="615"/>
      <c r="G20" s="615"/>
      <c r="H20" s="615"/>
      <c r="I20" s="615"/>
      <c r="J20" s="615"/>
      <c r="K20" s="615"/>
      <c r="L20" s="615"/>
      <c r="M20" s="115"/>
    </row>
    <row r="21" spans="1:13" outlineLevel="2">
      <c r="A21" s="363"/>
      <c r="B21" s="364"/>
      <c r="C21" s="151" t="str">
        <f t="shared" si="0"/>
        <v>Population (millions)</v>
      </c>
      <c r="D21" s="115"/>
      <c r="E21" s="200" t="s">
        <v>598</v>
      </c>
      <c r="F21" s="201" t="s">
        <v>313</v>
      </c>
      <c r="G21" s="201" t="s">
        <v>314</v>
      </c>
      <c r="H21" s="201" t="s">
        <v>125</v>
      </c>
      <c r="I21" s="201" t="s">
        <v>315</v>
      </c>
      <c r="J21" s="201" t="s">
        <v>316</v>
      </c>
      <c r="K21" s="201" t="s">
        <v>317</v>
      </c>
      <c r="L21" s="202" t="s">
        <v>133</v>
      </c>
      <c r="M21" s="115"/>
    </row>
    <row r="22" spans="1:13" outlineLevel="2">
      <c r="A22" s="363"/>
      <c r="B22" s="364"/>
      <c r="C22" s="151" t="str">
        <f t="shared" si="0"/>
        <v xml:space="preserve">France </v>
      </c>
      <c r="D22" s="115"/>
      <c r="E22" s="193" t="s">
        <v>595</v>
      </c>
      <c r="F22" s="135">
        <v>67.290000000000006</v>
      </c>
      <c r="G22" s="136">
        <v>67.959999999999994</v>
      </c>
      <c r="H22" s="136">
        <v>68.55</v>
      </c>
      <c r="I22" s="136">
        <v>68.98</v>
      </c>
      <c r="J22" s="136">
        <v>69.23</v>
      </c>
      <c r="K22" s="136">
        <v>69.28</v>
      </c>
      <c r="L22" s="195">
        <v>69.209999999999994</v>
      </c>
      <c r="M22" s="115"/>
    </row>
    <row r="23" spans="1:13" outlineLevel="2">
      <c r="A23" s="363"/>
      <c r="B23" s="364"/>
      <c r="C23" s="151" t="str">
        <f t="shared" si="0"/>
        <v>Dont hexagone</v>
      </c>
      <c r="D23" s="115"/>
      <c r="E23" s="193" t="s">
        <v>596</v>
      </c>
      <c r="F23" s="135">
        <v>65.12</v>
      </c>
      <c r="G23" s="136">
        <v>65.75</v>
      </c>
      <c r="H23" s="136">
        <v>66.3</v>
      </c>
      <c r="I23" s="136">
        <v>66.680000000000007</v>
      </c>
      <c r="J23" s="136">
        <v>66.87</v>
      </c>
      <c r="K23" s="136">
        <v>66.87</v>
      </c>
      <c r="L23" s="195">
        <v>66.73</v>
      </c>
      <c r="M23" s="115"/>
    </row>
    <row r="24" spans="1:13" ht="15" outlineLevel="2" thickBot="1">
      <c r="A24" s="363"/>
      <c r="B24" s="364"/>
      <c r="C24" s="151" t="str">
        <f t="shared" si="0"/>
        <v>Dont DROM</v>
      </c>
      <c r="D24" s="115"/>
      <c r="E24" s="193" t="s">
        <v>597</v>
      </c>
      <c r="F24" s="135">
        <v>2.16</v>
      </c>
      <c r="G24" s="136">
        <v>2.21</v>
      </c>
      <c r="H24" s="136">
        <v>2.25</v>
      </c>
      <c r="I24" s="136">
        <v>2.2999999999999998</v>
      </c>
      <c r="J24" s="136">
        <v>2.36</v>
      </c>
      <c r="K24" s="136">
        <v>2.42</v>
      </c>
      <c r="L24" s="195">
        <v>2.4700000000000002</v>
      </c>
      <c r="M24" s="115"/>
    </row>
    <row r="25" spans="1:13" ht="14.4" customHeight="1" outlineLevel="2">
      <c r="A25" s="363"/>
      <c r="B25" s="364"/>
      <c r="C25" s="151" t="str">
        <f t="shared" si="0"/>
        <v/>
      </c>
      <c r="D25" s="115"/>
      <c r="E25" s="616"/>
      <c r="F25" s="616"/>
      <c r="G25" s="616"/>
      <c r="H25" s="616"/>
      <c r="I25" s="616"/>
      <c r="J25" s="616"/>
      <c r="K25" s="616"/>
      <c r="L25" s="616"/>
      <c r="M25" s="115"/>
    </row>
    <row r="26" spans="1:13" outlineLevel="1">
      <c r="A26" s="363"/>
      <c r="B26" s="364"/>
      <c r="C26" s="151" t="str">
        <f t="shared" si="0"/>
        <v/>
      </c>
      <c r="D26" s="115"/>
      <c r="E26" s="115"/>
      <c r="F26" s="115"/>
      <c r="G26" s="115"/>
      <c r="H26" s="115"/>
      <c r="I26" s="115"/>
      <c r="J26" s="115"/>
      <c r="K26" s="115"/>
      <c r="L26" s="115"/>
      <c r="M26" s="115"/>
    </row>
    <row r="27" spans="1:13">
      <c r="A27" s="363"/>
      <c r="B27" s="364"/>
      <c r="C27" s="151" t="str">
        <f t="shared" si="0"/>
        <v/>
      </c>
      <c r="D27" s="629"/>
      <c r="E27" s="629"/>
      <c r="F27" s="629"/>
    </row>
    <row r="28" spans="1:13" ht="28.8" thickBot="1">
      <c r="A28" s="363"/>
      <c r="B28" s="364"/>
      <c r="C28" s="151" t="str">
        <f t="shared" si="0"/>
        <v>PIB</v>
      </c>
      <c r="D28" s="369"/>
      <c r="E28" s="370"/>
      <c r="F28" s="617" t="s">
        <v>600</v>
      </c>
      <c r="G28" s="617"/>
      <c r="H28" s="617"/>
      <c r="I28" s="617"/>
      <c r="J28" s="617"/>
      <c r="K28" s="617"/>
      <c r="L28" s="617"/>
      <c r="M28" s="617"/>
    </row>
    <row r="29" spans="1:13" ht="13.2" customHeight="1" thickTop="1">
      <c r="A29" s="363"/>
      <c r="B29" s="365"/>
      <c r="C29" s="151" t="str">
        <f t="shared" si="0"/>
        <v/>
      </c>
      <c r="D29" s="208"/>
      <c r="E29" s="208"/>
      <c r="F29" s="208"/>
    </row>
    <row r="30" spans="1:13" outlineLevel="1">
      <c r="A30" s="363"/>
      <c r="B30" s="365"/>
      <c r="C30" s="151" t="str">
        <f t="shared" si="0"/>
        <v/>
      </c>
      <c r="D30" s="115"/>
      <c r="E30" s="115"/>
      <c r="F30" s="115"/>
      <c r="G30" s="115"/>
      <c r="H30" s="115"/>
      <c r="I30" s="115"/>
      <c r="J30" s="115"/>
      <c r="K30" s="115"/>
      <c r="L30" s="115"/>
      <c r="M30" s="115"/>
    </row>
    <row r="31" spans="1:13" ht="19.2" outlineLevel="1">
      <c r="A31" s="363"/>
      <c r="B31" s="365"/>
      <c r="C31" s="151" t="str">
        <f t="shared" si="0"/>
        <v xml:space="preserve">Commentaire
IGCE = 
Diffus = </v>
      </c>
      <c r="D31" s="115"/>
      <c r="E31" s="611" t="s">
        <v>140</v>
      </c>
      <c r="F31" s="612"/>
      <c r="G31" s="612"/>
      <c r="H31" s="612"/>
      <c r="I31" s="612"/>
      <c r="J31" s="612"/>
      <c r="K31" s="612"/>
      <c r="L31" s="612"/>
      <c r="M31" s="115"/>
    </row>
    <row r="32" spans="1:13" ht="19.2" customHeight="1" outlineLevel="1">
      <c r="A32" s="363"/>
      <c r="B32" s="365"/>
      <c r="C32" s="151" t="str">
        <f t="shared" si="0"/>
        <v xml:space="preserve">Les hypothèses relatives à la croissance du PIB ont été reprises du cadrage fourni par la Commission Européenne. </v>
      </c>
      <c r="D32" s="115"/>
      <c r="E32" s="613" t="s">
        <v>601</v>
      </c>
      <c r="F32" s="614"/>
      <c r="G32" s="614"/>
      <c r="H32" s="614"/>
      <c r="I32" s="614"/>
      <c r="J32" s="614"/>
      <c r="K32" s="614"/>
      <c r="L32" s="614"/>
      <c r="M32" s="115"/>
    </row>
    <row r="33" spans="1:13" ht="15" customHeight="1" outlineLevel="1">
      <c r="A33" s="363"/>
      <c r="B33" s="365"/>
      <c r="C33" s="151" t="str">
        <f t="shared" si="0"/>
        <v/>
      </c>
      <c r="D33" s="115"/>
      <c r="E33" s="115"/>
      <c r="F33" s="115"/>
      <c r="G33" s="115"/>
      <c r="H33" s="115"/>
      <c r="I33" s="115"/>
      <c r="J33" s="115"/>
      <c r="K33" s="115"/>
      <c r="L33" s="115"/>
      <c r="M33" s="115"/>
    </row>
    <row r="34" spans="1:13" ht="15" customHeight="1" outlineLevel="1" thickBot="1">
      <c r="A34" s="363"/>
      <c r="B34" s="365"/>
      <c r="C34" s="151" t="str">
        <f t="shared" si="0"/>
        <v>Evolution du PIB (index 2018)</v>
      </c>
      <c r="D34" s="115"/>
      <c r="E34" s="615" t="s">
        <v>605</v>
      </c>
      <c r="F34" s="615"/>
      <c r="G34" s="615"/>
      <c r="H34" s="615"/>
      <c r="I34" s="615"/>
      <c r="J34" s="615"/>
      <c r="K34" s="615"/>
      <c r="L34" s="615"/>
      <c r="M34" s="115"/>
    </row>
    <row r="35" spans="1:13" outlineLevel="2">
      <c r="A35" s="363"/>
      <c r="B35" s="365"/>
      <c r="C35" s="151" t="str">
        <f t="shared" si="0"/>
        <v>Evolution du PIB (index 2018)</v>
      </c>
      <c r="D35" s="115"/>
      <c r="E35" s="200" t="s">
        <v>605</v>
      </c>
      <c r="F35" s="201" t="s">
        <v>313</v>
      </c>
      <c r="G35" s="201" t="s">
        <v>314</v>
      </c>
      <c r="H35" s="201" t="s">
        <v>125</v>
      </c>
      <c r="I35" s="201" t="s">
        <v>315</v>
      </c>
      <c r="J35" s="201" t="s">
        <v>316</v>
      </c>
      <c r="K35" s="201" t="s">
        <v>317</v>
      </c>
      <c r="L35" s="202" t="s">
        <v>133</v>
      </c>
      <c r="M35" s="115"/>
    </row>
    <row r="36" spans="1:13" ht="15" outlineLevel="2" thickBot="1">
      <c r="A36" s="363"/>
      <c r="B36" s="365"/>
      <c r="C36" s="151" t="str">
        <f t="shared" si="0"/>
        <v>PIB réel</v>
      </c>
      <c r="D36" s="115"/>
      <c r="E36" s="280" t="s">
        <v>606</v>
      </c>
      <c r="F36" s="212">
        <v>100.33161995346313</v>
      </c>
      <c r="G36" s="213">
        <v>105.18790679444839</v>
      </c>
      <c r="H36" s="213">
        <v>108.95140310114323</v>
      </c>
      <c r="I36" s="213">
        <v>115.4558473578564</v>
      </c>
      <c r="J36" s="213">
        <v>123.41956279572594</v>
      </c>
      <c r="K36" s="213">
        <v>130.90435020652234</v>
      </c>
      <c r="L36" s="279">
        <v>141.2935767448316</v>
      </c>
      <c r="M36" s="115"/>
    </row>
    <row r="37" spans="1:13" outlineLevel="2">
      <c r="A37" s="363"/>
      <c r="B37" s="365"/>
      <c r="C37" s="151" t="str">
        <f t="shared" si="0"/>
        <v/>
      </c>
      <c r="D37" s="115"/>
      <c r="E37" s="616"/>
      <c r="F37" s="616"/>
      <c r="G37" s="616"/>
      <c r="H37" s="616"/>
      <c r="I37" s="616"/>
      <c r="J37" s="616"/>
      <c r="K37" s="616"/>
      <c r="L37" s="616"/>
      <c r="M37" s="115"/>
    </row>
    <row r="38" spans="1:13" outlineLevel="1">
      <c r="A38" s="363"/>
      <c r="B38" s="365"/>
      <c r="C38" s="151" t="str">
        <f t="shared" si="0"/>
        <v/>
      </c>
      <c r="D38" s="115"/>
      <c r="E38" s="115"/>
      <c r="F38" s="115"/>
      <c r="G38" s="115"/>
      <c r="H38" s="115"/>
      <c r="I38" s="115"/>
      <c r="J38" s="115"/>
      <c r="K38" s="115"/>
      <c r="L38" s="115"/>
      <c r="M38" s="115"/>
    </row>
    <row r="39" spans="1:13" ht="15" outlineLevel="1" thickBot="1">
      <c r="A39" s="363"/>
      <c r="B39" s="365"/>
      <c r="C39" s="151" t="str">
        <f t="shared" si="0"/>
        <v>Part dans le PIB</v>
      </c>
      <c r="D39" s="115"/>
      <c r="E39" s="615" t="s">
        <v>609</v>
      </c>
      <c r="F39" s="615"/>
      <c r="G39" s="615"/>
      <c r="H39" s="615"/>
      <c r="I39" s="615"/>
      <c r="J39" s="615"/>
      <c r="K39" s="615"/>
      <c r="L39" s="615"/>
      <c r="M39" s="115"/>
    </row>
    <row r="40" spans="1:13" outlineLevel="2">
      <c r="A40" s="363"/>
      <c r="B40" s="365"/>
      <c r="C40" s="151" t="str">
        <f t="shared" si="0"/>
        <v>Part dans le PIB (%)</v>
      </c>
      <c r="D40" s="115"/>
      <c r="E40" s="227" t="s">
        <v>610</v>
      </c>
      <c r="F40" s="228">
        <v>2021</v>
      </c>
      <c r="G40" s="228">
        <v>2025</v>
      </c>
      <c r="H40" s="228">
        <v>2030</v>
      </c>
      <c r="I40" s="228">
        <v>2035</v>
      </c>
      <c r="J40" s="228">
        <v>2040</v>
      </c>
      <c r="K40" s="228">
        <v>2045</v>
      </c>
      <c r="L40" s="229">
        <v>2050</v>
      </c>
      <c r="M40" s="115"/>
    </row>
    <row r="41" spans="1:13" outlineLevel="2">
      <c r="A41" s="363"/>
      <c r="B41" s="365"/>
      <c r="C41" s="151" t="str">
        <f t="shared" si="0"/>
        <v>Agriculture</v>
      </c>
      <c r="D41" s="115"/>
      <c r="E41" s="179" t="s">
        <v>118</v>
      </c>
      <c r="F41" s="180">
        <v>1.8245517527465224E-2</v>
      </c>
      <c r="G41" s="181">
        <v>1.6531981629289191E-2</v>
      </c>
      <c r="H41" s="181">
        <v>1.5791219325713111E-2</v>
      </c>
      <c r="I41" s="181">
        <v>1.4959327484246002E-2</v>
      </c>
      <c r="J41" s="181">
        <v>1.3921908570849538E-2</v>
      </c>
      <c r="K41" s="181">
        <v>1.2876765269065518E-2</v>
      </c>
      <c r="L41" s="281">
        <v>1.1972387876440921E-2</v>
      </c>
      <c r="M41" s="115"/>
    </row>
    <row r="42" spans="1:13" outlineLevel="2">
      <c r="A42" s="363"/>
      <c r="B42" s="365"/>
      <c r="C42" s="151" t="str">
        <f t="shared" si="0"/>
        <v>Construction</v>
      </c>
      <c r="D42" s="115"/>
      <c r="E42" s="122" t="s">
        <v>3</v>
      </c>
      <c r="F42" s="177">
        <v>5.5863793255042711E-2</v>
      </c>
      <c r="G42" s="174">
        <v>6.2033315933252606E-2</v>
      </c>
      <c r="H42" s="174">
        <v>6.1052314005782218E-2</v>
      </c>
      <c r="I42" s="174">
        <v>6.0238693002716198E-2</v>
      </c>
      <c r="J42" s="174">
        <v>5.8906536609879656E-2</v>
      </c>
      <c r="K42" s="174">
        <v>5.7812382042849289E-2</v>
      </c>
      <c r="L42" s="205">
        <v>5.697105654091468E-2</v>
      </c>
      <c r="M42" s="115"/>
    </row>
    <row r="43" spans="1:13" outlineLevel="2">
      <c r="A43" s="363"/>
      <c r="B43" s="365"/>
      <c r="C43" s="151" t="str">
        <f t="shared" si="0"/>
        <v>Services</v>
      </c>
      <c r="D43" s="115"/>
      <c r="E43" s="122" t="s">
        <v>607</v>
      </c>
      <c r="F43" s="177">
        <v>0.79677969884638189</v>
      </c>
      <c r="G43" s="174">
        <v>0.79495862862629685</v>
      </c>
      <c r="H43" s="174">
        <v>0.7988904572577824</v>
      </c>
      <c r="I43" s="174">
        <v>0.80232087121243478</v>
      </c>
      <c r="J43" s="174">
        <v>0.80667527000368133</v>
      </c>
      <c r="K43" s="174">
        <v>0.81050213251462855</v>
      </c>
      <c r="L43" s="205">
        <v>0.81352216879664152</v>
      </c>
      <c r="M43" s="115"/>
    </row>
    <row r="44" spans="1:13" ht="15" outlineLevel="2" thickBot="1">
      <c r="A44" s="363"/>
      <c r="B44" s="365"/>
      <c r="C44" s="151" t="str">
        <f t="shared" si="0"/>
        <v>Industrie et énergie</v>
      </c>
      <c r="D44" s="115"/>
      <c r="E44" s="122" t="s">
        <v>608</v>
      </c>
      <c r="F44" s="177">
        <v>0.12911099037111018</v>
      </c>
      <c r="G44" s="174">
        <v>0.12647607381116147</v>
      </c>
      <c r="H44" s="174">
        <v>0.12426600941072219</v>
      </c>
      <c r="I44" s="174">
        <v>0.12248110830060296</v>
      </c>
      <c r="J44" s="174">
        <v>0.12049628481558954</v>
      </c>
      <c r="K44" s="174">
        <v>0.11880872017345658</v>
      </c>
      <c r="L44" s="205">
        <v>0.11753438678600277</v>
      </c>
      <c r="M44" s="115"/>
    </row>
    <row r="45" spans="1:13" outlineLevel="2">
      <c r="A45" s="363"/>
      <c r="B45" s="365"/>
      <c r="C45" s="151" t="str">
        <f t="shared" si="0"/>
        <v/>
      </c>
      <c r="D45" s="115"/>
      <c r="E45" s="616"/>
      <c r="F45" s="616"/>
      <c r="G45" s="616"/>
      <c r="H45" s="616"/>
      <c r="I45" s="616"/>
      <c r="J45" s="616"/>
      <c r="K45" s="616"/>
      <c r="L45" s="616"/>
      <c r="M45" s="115"/>
    </row>
    <row r="46" spans="1:13" outlineLevel="1">
      <c r="A46" s="363"/>
      <c r="B46" s="365"/>
      <c r="C46" s="151" t="str">
        <f t="shared" si="0"/>
        <v/>
      </c>
      <c r="D46" s="115"/>
      <c r="E46" s="142"/>
      <c r="F46" s="142"/>
      <c r="G46" s="142"/>
      <c r="H46" s="142"/>
      <c r="I46" s="142"/>
      <c r="J46" s="142"/>
      <c r="K46" s="142"/>
      <c r="L46" s="142"/>
      <c r="M46" s="115"/>
    </row>
    <row r="47" spans="1:13" outlineLevel="1">
      <c r="A47" s="363"/>
      <c r="B47" s="365"/>
      <c r="C47" s="151" t="str">
        <f t="shared" ref="C47:C60" si="1">IF(ISBLANK(E47),IF(ISBLANK(F47),"",F47),E47)</f>
        <v/>
      </c>
      <c r="D47" s="115"/>
      <c r="E47" s="142"/>
      <c r="F47" s="142"/>
      <c r="G47" s="142"/>
      <c r="H47" s="142"/>
      <c r="I47" s="142"/>
      <c r="J47" s="142"/>
      <c r="K47" s="142"/>
      <c r="L47" s="142"/>
      <c r="M47" s="115"/>
    </row>
    <row r="48" spans="1:13" ht="28.8" thickBot="1">
      <c r="A48" s="363"/>
      <c r="B48" s="365"/>
      <c r="C48" s="151" t="str">
        <f t="shared" si="1"/>
        <v>Prix des énergies</v>
      </c>
      <c r="D48" s="369"/>
      <c r="E48" s="370"/>
      <c r="F48" s="617" t="s">
        <v>602</v>
      </c>
      <c r="G48" s="617"/>
      <c r="H48" s="617"/>
      <c r="I48" s="617"/>
      <c r="J48" s="617"/>
      <c r="K48" s="617"/>
      <c r="L48" s="617"/>
      <c r="M48" s="617"/>
    </row>
    <row r="49" spans="1:13" ht="15" thickTop="1">
      <c r="A49" s="363"/>
      <c r="B49" s="365"/>
      <c r="C49" s="151" t="str">
        <f t="shared" si="1"/>
        <v/>
      </c>
      <c r="D49" s="208"/>
      <c r="E49" s="208"/>
      <c r="F49" s="208"/>
    </row>
    <row r="50" spans="1:13" outlineLevel="1">
      <c r="A50" s="363"/>
      <c r="B50" s="365"/>
      <c r="C50" s="151" t="str">
        <f t="shared" si="1"/>
        <v/>
      </c>
      <c r="D50" s="115"/>
      <c r="E50" s="115"/>
      <c r="F50" s="115"/>
      <c r="G50" s="115"/>
      <c r="H50" s="115"/>
      <c r="I50" s="115"/>
      <c r="J50" s="115"/>
      <c r="K50" s="115"/>
      <c r="L50" s="115"/>
      <c r="M50" s="115"/>
    </row>
    <row r="51" spans="1:13" ht="19.2" outlineLevel="1">
      <c r="A51" s="363"/>
      <c r="B51" s="365"/>
      <c r="C51" s="151" t="str">
        <f t="shared" si="1"/>
        <v xml:space="preserve">Commentaire
IGCE = 
Diffus = </v>
      </c>
      <c r="D51" s="115"/>
      <c r="E51" s="611" t="s">
        <v>140</v>
      </c>
      <c r="F51" s="612"/>
      <c r="G51" s="612"/>
      <c r="H51" s="612"/>
      <c r="I51" s="612"/>
      <c r="J51" s="612"/>
      <c r="K51" s="612"/>
      <c r="L51" s="612"/>
      <c r="M51" s="115"/>
    </row>
    <row r="52" spans="1:13" ht="39.6" customHeight="1" outlineLevel="1">
      <c r="A52" s="363"/>
      <c r="B52" s="365"/>
      <c r="C52" s="151" t="str">
        <f t="shared" si="1"/>
        <v>Ces prix font partie des hypothèses fixées dans le cadre du cadrage de la Commission européenne. Elles sont intégrées en projection en même temps que les taxes sur l’énergie dans le cadre des modélisations transport et bâtiment.</v>
      </c>
      <c r="D52" s="115"/>
      <c r="E52" s="613" t="s">
        <v>603</v>
      </c>
      <c r="F52" s="614"/>
      <c r="G52" s="614"/>
      <c r="H52" s="614"/>
      <c r="I52" s="614"/>
      <c r="J52" s="614"/>
      <c r="K52" s="614"/>
      <c r="L52" s="614"/>
      <c r="M52" s="115"/>
    </row>
    <row r="53" spans="1:13" outlineLevel="1">
      <c r="A53" s="363"/>
      <c r="B53" s="365"/>
      <c r="C53" s="151" t="str">
        <f t="shared" si="1"/>
        <v/>
      </c>
      <c r="D53" s="115"/>
      <c r="E53" s="142"/>
      <c r="F53" s="142"/>
      <c r="G53" s="142"/>
      <c r="H53" s="142"/>
      <c r="I53" s="142"/>
      <c r="J53" s="142"/>
      <c r="K53" s="142"/>
      <c r="L53" s="142"/>
      <c r="M53" s="115"/>
    </row>
    <row r="54" spans="1:13" ht="15" outlineLevel="1" thickBot="1">
      <c r="A54" s="363"/>
      <c r="B54" s="365"/>
      <c r="C54" s="151" t="str">
        <f t="shared" si="1"/>
        <v xml:space="preserve">Evolution du prix des énergies fossiles importées (en €2019) </v>
      </c>
      <c r="D54" s="115"/>
      <c r="E54" s="618" t="s">
        <v>1107</v>
      </c>
      <c r="F54" s="618"/>
      <c r="G54" s="618"/>
      <c r="H54" s="618"/>
      <c r="I54" s="618"/>
      <c r="J54" s="618"/>
      <c r="K54" s="618"/>
      <c r="L54" s="618"/>
      <c r="M54" s="115"/>
    </row>
    <row r="55" spans="1:13" outlineLevel="2">
      <c r="A55" s="363"/>
      <c r="B55" s="365"/>
      <c r="C55" s="151" t="str">
        <f t="shared" si="1"/>
        <v>€ / MWh PCI</v>
      </c>
      <c r="D55" s="115"/>
      <c r="E55" s="322" t="s">
        <v>1087</v>
      </c>
      <c r="F55" s="494">
        <v>2020</v>
      </c>
      <c r="G55" s="494">
        <v>2025</v>
      </c>
      <c r="H55" s="494">
        <v>2030</v>
      </c>
      <c r="I55" s="494">
        <v>2035</v>
      </c>
      <c r="J55" s="494">
        <v>2040</v>
      </c>
      <c r="K55" s="494">
        <v>2045</v>
      </c>
      <c r="L55" s="495">
        <v>2050</v>
      </c>
      <c r="M55" s="115"/>
    </row>
    <row r="56" spans="1:13" outlineLevel="2">
      <c r="A56" s="363"/>
      <c r="B56" s="365"/>
      <c r="C56" s="151" t="str">
        <f t="shared" si="1"/>
        <v>Pétrole</v>
      </c>
      <c r="D56" s="115"/>
      <c r="E56" s="218" t="s">
        <v>284</v>
      </c>
      <c r="F56" s="210">
        <v>24.3</v>
      </c>
      <c r="G56" s="211">
        <v>39.6</v>
      </c>
      <c r="H56" s="211">
        <v>44.4</v>
      </c>
      <c r="I56" s="211">
        <v>49.2</v>
      </c>
      <c r="J56" s="211">
        <v>50.5</v>
      </c>
      <c r="K56" s="211">
        <v>55</v>
      </c>
      <c r="L56" s="511">
        <v>62.9</v>
      </c>
      <c r="M56" s="115"/>
    </row>
    <row r="57" spans="1:13" outlineLevel="2">
      <c r="A57" s="363"/>
      <c r="B57" s="365"/>
      <c r="C57" s="151" t="str">
        <f t="shared" si="1"/>
        <v xml:space="preserve">Charbon </v>
      </c>
      <c r="D57" s="115"/>
      <c r="E57" s="218" t="s">
        <v>604</v>
      </c>
      <c r="F57" s="210">
        <v>6.1</v>
      </c>
      <c r="G57" s="211">
        <v>13.1</v>
      </c>
      <c r="H57" s="211">
        <v>12.8</v>
      </c>
      <c r="I57" s="211">
        <v>12.1</v>
      </c>
      <c r="J57" s="211">
        <v>12.1</v>
      </c>
      <c r="K57" s="211">
        <v>12.8</v>
      </c>
      <c r="L57" s="511">
        <v>12.8</v>
      </c>
      <c r="M57" s="115"/>
    </row>
    <row r="58" spans="1:13" ht="15" outlineLevel="2" thickBot="1">
      <c r="A58" s="363"/>
      <c r="B58" s="365"/>
      <c r="C58" s="151" t="str">
        <f t="shared" si="1"/>
        <v>Gaz</v>
      </c>
      <c r="D58" s="115"/>
      <c r="E58" s="222" t="s">
        <v>518</v>
      </c>
      <c r="F58" s="513">
        <v>11.8</v>
      </c>
      <c r="G58" s="514">
        <v>30</v>
      </c>
      <c r="H58" s="514">
        <v>28.8</v>
      </c>
      <c r="I58" s="514">
        <v>26.2</v>
      </c>
      <c r="J58" s="514">
        <v>32.299999999999997</v>
      </c>
      <c r="K58" s="514">
        <v>31.6</v>
      </c>
      <c r="L58" s="515">
        <v>30.7</v>
      </c>
      <c r="M58" s="115"/>
    </row>
    <row r="59" spans="1:13" outlineLevel="2">
      <c r="A59" s="363"/>
      <c r="B59" s="365"/>
      <c r="C59" s="151" t="str">
        <f t="shared" si="1"/>
        <v>Ces données correspondent aux prix de marché et non aux prix à la consommation.</v>
      </c>
      <c r="D59" s="115"/>
      <c r="E59" s="610" t="s">
        <v>1086</v>
      </c>
      <c r="F59" s="610"/>
      <c r="G59" s="610"/>
      <c r="H59" s="610"/>
      <c r="I59" s="610"/>
      <c r="J59" s="610"/>
      <c r="K59" s="610"/>
      <c r="L59" s="610"/>
      <c r="M59" s="115"/>
    </row>
    <row r="60" spans="1:13" outlineLevel="1">
      <c r="A60" s="363"/>
      <c r="B60" s="365"/>
      <c r="C60" s="151" t="str">
        <f t="shared" si="1"/>
        <v/>
      </c>
      <c r="D60" s="115"/>
      <c r="E60" s="142"/>
      <c r="F60" s="142"/>
      <c r="G60" s="142"/>
      <c r="H60" s="142"/>
      <c r="I60" s="142"/>
      <c r="J60" s="142"/>
      <c r="K60" s="142"/>
      <c r="L60" s="142"/>
      <c r="M60" s="115"/>
    </row>
    <row r="61" spans="1:13" s="283" customFormat="1" ht="15" outlineLevel="1" thickBot="1">
      <c r="A61" s="363"/>
      <c r="B61" s="365"/>
      <c r="C61" s="151"/>
      <c r="D61" s="115"/>
      <c r="E61" s="627" t="s">
        <v>611</v>
      </c>
      <c r="F61" s="627"/>
      <c r="G61" s="627"/>
      <c r="H61" s="627"/>
      <c r="I61" s="627"/>
      <c r="J61" s="627"/>
      <c r="K61" s="627"/>
      <c r="L61" s="627"/>
      <c r="M61" s="115"/>
    </row>
    <row r="62" spans="1:13" s="283" customFormat="1" outlineLevel="1">
      <c r="A62" s="363"/>
      <c r="B62" s="365"/>
      <c r="C62" s="151"/>
      <c r="D62" s="115"/>
      <c r="E62" s="322" t="s">
        <v>613</v>
      </c>
      <c r="F62" s="494">
        <v>2020</v>
      </c>
      <c r="G62" s="494">
        <v>2025</v>
      </c>
      <c r="H62" s="494">
        <v>2030</v>
      </c>
      <c r="I62" s="494">
        <v>2035</v>
      </c>
      <c r="J62" s="494">
        <v>2040</v>
      </c>
      <c r="K62" s="494">
        <v>2045</v>
      </c>
      <c r="L62" s="495">
        <v>2050</v>
      </c>
      <c r="M62" s="115"/>
    </row>
    <row r="63" spans="1:13" s="283" customFormat="1" ht="15" outlineLevel="1" thickBot="1">
      <c r="A63" s="363"/>
      <c r="B63" s="365"/>
      <c r="C63" s="151"/>
      <c r="D63" s="115"/>
      <c r="E63" s="222" t="s">
        <v>612</v>
      </c>
      <c r="F63" s="474">
        <v>177.9304665782025</v>
      </c>
      <c r="G63" s="475">
        <v>188.7928175545556</v>
      </c>
      <c r="H63" s="470">
        <v>195.35572098150953</v>
      </c>
      <c r="I63" s="470">
        <v>195.35572098150953</v>
      </c>
      <c r="J63" s="470">
        <v>195.35572098150953</v>
      </c>
      <c r="K63" s="470">
        <v>195.35572098150953</v>
      </c>
      <c r="L63" s="471">
        <v>195.35572098150953</v>
      </c>
      <c r="M63" s="115"/>
    </row>
    <row r="64" spans="1:13" s="283" customFormat="1" outlineLevel="1">
      <c r="A64" s="363"/>
      <c r="B64" s="365"/>
      <c r="C64" s="151"/>
      <c r="D64" s="115"/>
      <c r="E64" s="610"/>
      <c r="F64" s="610"/>
      <c r="G64" s="610"/>
      <c r="H64" s="610"/>
      <c r="I64" s="610"/>
      <c r="J64" s="610"/>
      <c r="K64" s="610"/>
      <c r="L64" s="610"/>
      <c r="M64" s="115"/>
    </row>
    <row r="65" spans="1:13" s="283" customFormat="1" outlineLevel="4">
      <c r="A65" s="363"/>
      <c r="B65" s="365"/>
      <c r="C65" s="151"/>
      <c r="D65" s="115"/>
      <c r="E65" s="288"/>
      <c r="F65" s="288"/>
      <c r="G65" s="288"/>
      <c r="H65" s="288"/>
      <c r="I65" s="288"/>
      <c r="J65" s="288"/>
      <c r="K65" s="288"/>
      <c r="L65" s="288"/>
      <c r="M65" s="115"/>
    </row>
    <row r="66" spans="1:13" s="283" customFormat="1" outlineLevel="4">
      <c r="A66" s="363"/>
      <c r="B66" s="365"/>
      <c r="C66" s="151"/>
      <c r="D66" s="115"/>
      <c r="E66" s="288"/>
      <c r="F66" s="288"/>
      <c r="G66" s="288"/>
      <c r="H66" s="288"/>
      <c r="I66" s="288"/>
      <c r="J66" s="288"/>
      <c r="K66" s="288"/>
      <c r="L66" s="288"/>
      <c r="M66" s="115"/>
    </row>
    <row r="67" spans="1:13">
      <c r="A67" s="363"/>
      <c r="B67" s="365"/>
      <c r="C67" s="151" t="str">
        <f t="shared" ref="C67" si="2">IF(ISBLANK(E67),IF(ISBLANK(F67),"",F67),E67)</f>
        <v/>
      </c>
      <c r="D67" s="115"/>
      <c r="E67" s="142"/>
      <c r="F67" s="142"/>
      <c r="G67" s="142"/>
      <c r="H67" s="142"/>
      <c r="I67" s="142"/>
      <c r="J67" s="142"/>
      <c r="K67" s="142"/>
      <c r="L67" s="142"/>
      <c r="M67" s="115"/>
    </row>
  </sheetData>
  <mergeCells count="35">
    <mergeCell ref="E61:L61"/>
    <mergeCell ref="E64:L64"/>
    <mergeCell ref="R3:T3"/>
    <mergeCell ref="F4:G4"/>
    <mergeCell ref="H4:I4"/>
    <mergeCell ref="J4:K4"/>
    <mergeCell ref="L4:M4"/>
    <mergeCell ref="E12:L12"/>
    <mergeCell ref="E8:L8"/>
    <mergeCell ref="E45:L45"/>
    <mergeCell ref="F14:M14"/>
    <mergeCell ref="E18:L18"/>
    <mergeCell ref="E20:L20"/>
    <mergeCell ref="E25:L25"/>
    <mergeCell ref="D27:F27"/>
    <mergeCell ref="F28:M28"/>
    <mergeCell ref="E1:M1"/>
    <mergeCell ref="E3:I3"/>
    <mergeCell ref="J3:M3"/>
    <mergeCell ref="O3:Q3"/>
    <mergeCell ref="F5:G5"/>
    <mergeCell ref="H5:I5"/>
    <mergeCell ref="J5:K5"/>
    <mergeCell ref="L5:M5"/>
    <mergeCell ref="E17:L17"/>
    <mergeCell ref="F48:M48"/>
    <mergeCell ref="E51:L51"/>
    <mergeCell ref="E52:L52"/>
    <mergeCell ref="E54:L54"/>
    <mergeCell ref="E59:L59"/>
    <mergeCell ref="E31:L31"/>
    <mergeCell ref="E32:L32"/>
    <mergeCell ref="E34:L34"/>
    <mergeCell ref="E37:L37"/>
    <mergeCell ref="E39:L39"/>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Spinner 1">
              <controlPr defaultSize="0" autoPict="0">
                <anchor moveWithCells="1" sizeWithCells="1">
                  <from>
                    <xdr:col>13</xdr:col>
                    <xdr:colOff>617220</xdr:colOff>
                    <xdr:row>3</xdr:row>
                    <xdr:rowOff>0</xdr:rowOff>
                  </from>
                  <to>
                    <xdr:col>13</xdr:col>
                    <xdr:colOff>861060</xdr:colOff>
                    <xdr:row>5</xdr:row>
                    <xdr:rowOff>0</xdr:rowOff>
                  </to>
                </anchor>
              </controlPr>
            </control>
          </mc:Choice>
        </mc:AlternateContent>
        <mc:AlternateContent xmlns:mc="http://schemas.openxmlformats.org/markup-compatibility/2006">
          <mc:Choice Requires="x14">
            <control shapeId="62466" r:id="rId5" name="Spinner 2">
              <controlPr defaultSize="0" autoPict="0">
                <anchor moveWithCells="1" sizeWithCells="1">
                  <from>
                    <xdr:col>3</xdr:col>
                    <xdr:colOff>236220</xdr:colOff>
                    <xdr:row>3</xdr:row>
                    <xdr:rowOff>0</xdr:rowOff>
                  </from>
                  <to>
                    <xdr:col>3</xdr:col>
                    <xdr:colOff>480060</xdr:colOff>
                    <xdr:row>4</xdr:row>
                    <xdr:rowOff>327660</xdr:rowOff>
                  </to>
                </anchor>
              </controlPr>
            </control>
          </mc:Choice>
        </mc:AlternateContent>
      </controls>
    </mc:Choice>
  </mc:AlternateContent>
  <tableParts count="2">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4:Q53"/>
  <sheetViews>
    <sheetView workbookViewId="0">
      <selection activeCell="D11" sqref="D11"/>
    </sheetView>
  </sheetViews>
  <sheetFormatPr baseColWidth="10" defaultRowHeight="14.4"/>
  <sheetData>
    <row r="4" spans="4:17">
      <c r="O4" t="str">
        <f>IF(Moteur!F5=3,HYPERLINK("#"&amp;F5&amp;"!E1",F5),IF($D$6=2,HYPERLINK("#"&amp;F6&amp;"!E1",F6),HYPERLINK("#"&amp;F7&amp;"!E1",F7)))</f>
        <v>Bâtiments</v>
      </c>
    </row>
    <row r="5" spans="4:17">
      <c r="F5" s="283" t="s">
        <v>594</v>
      </c>
      <c r="G5" s="283" t="s">
        <v>0</v>
      </c>
      <c r="H5" s="283" t="s">
        <v>118</v>
      </c>
      <c r="J5" t="s">
        <v>308</v>
      </c>
      <c r="K5" t="s">
        <v>310</v>
      </c>
    </row>
    <row r="6" spans="4:17">
      <c r="D6">
        <v>3</v>
      </c>
      <c r="F6" s="283" t="s">
        <v>306</v>
      </c>
      <c r="G6" s="283" t="s">
        <v>40</v>
      </c>
      <c r="H6" s="283" t="s">
        <v>24</v>
      </c>
      <c r="K6" t="s">
        <v>691</v>
      </c>
      <c r="L6" t="s">
        <v>691</v>
      </c>
    </row>
    <row r="7" spans="4:17">
      <c r="F7" s="283" t="s">
        <v>120</v>
      </c>
      <c r="G7" s="283" t="s">
        <v>43</v>
      </c>
      <c r="H7" s="283" t="s">
        <v>940</v>
      </c>
      <c r="O7" s="283" t="s">
        <v>0</v>
      </c>
      <c r="P7" s="283" t="s">
        <v>118</v>
      </c>
      <c r="Q7" s="283" t="s">
        <v>306</v>
      </c>
    </row>
    <row r="8" spans="4:17">
      <c r="D8" s="149"/>
      <c r="F8" t="s">
        <v>594</v>
      </c>
      <c r="O8" s="283" t="s">
        <v>40</v>
      </c>
      <c r="P8" s="283" t="s">
        <v>24</v>
      </c>
      <c r="Q8" s="283" t="s">
        <v>120</v>
      </c>
    </row>
    <row r="9" spans="4:17">
      <c r="F9" t="str">
        <f>IF($D$6=3,HYPERLINK("#"&amp;F5&amp;"!E1",F5),IF($D$6=2,HYPERLINK("#"&amp;F6&amp;"!E1",F6),HYPERLINK("#"&amp;F7&amp;"!E1",F7)))</f>
        <v>Cadrage</v>
      </c>
      <c r="G9" t="str">
        <f>IF($D$6=3,HYPERLINK("#"&amp;G5&amp;"!E1",G5),IF($D$6=2,HYPERLINK("#"&amp;G6&amp;"!E1",G6),HYPERLINK("#"&amp;G7&amp;"!E1",G7)))</f>
        <v>Industrie</v>
      </c>
      <c r="H9" t="str">
        <f t="shared" ref="H9" si="0">IF($D$6=3,HYPERLINK("#"&amp;H5&amp;"!E1",H5),IF($D$6=2,HYPERLINK("#"&amp;H6&amp;"!E1",H6),HYPERLINK("#"&amp;H7&amp;"!E1",H7)))</f>
        <v>Agriculture</v>
      </c>
      <c r="O9" s="283" t="s">
        <v>43</v>
      </c>
      <c r="P9" s="283" t="s">
        <v>594</v>
      </c>
      <c r="Q9" s="283" t="s">
        <v>940</v>
      </c>
    </row>
    <row r="14" spans="4:17">
      <c r="D14">
        <v>3</v>
      </c>
      <c r="E14" s="630" t="s">
        <v>0</v>
      </c>
      <c r="F14" t="str">
        <f>Industrie!F11</f>
        <v>Consommation</v>
      </c>
      <c r="G14" t="str">
        <f>Industrie!F32</f>
        <v>Production</v>
      </c>
      <c r="H14" t="str">
        <f>Industrie!F94</f>
        <v>Mix énergétique</v>
      </c>
      <c r="J14" t="str">
        <f>Industrie!F514</f>
        <v>Consommations d'énergie</v>
      </c>
      <c r="K14" t="str">
        <f>Industrie!F563</f>
        <v>Emissions de gaz à effet de serre</v>
      </c>
    </row>
    <row r="15" spans="4:17">
      <c r="E15" s="630"/>
      <c r="F15" t="str">
        <f>Industrie!F387</f>
        <v>Efficacité énergétique</v>
      </c>
      <c r="G15" t="str">
        <f>Industrie!F421</f>
        <v>Recyclage</v>
      </c>
      <c r="H15" t="str">
        <f>Industrie!F438</f>
        <v>Non-énergétique</v>
      </c>
    </row>
    <row r="16" spans="4:17">
      <c r="E16" s="630"/>
      <c r="F16" t="str">
        <f>Industrie!F471</f>
        <v>Capture et stockage du carbone</v>
      </c>
    </row>
    <row r="17" spans="5:8">
      <c r="E17" s="629" t="s">
        <v>40</v>
      </c>
      <c r="F17" t="str">
        <f>Transports!F11</f>
        <v>Parc</v>
      </c>
      <c r="G17" t="str">
        <f>Transports!F31</f>
        <v>Véhicules neufs</v>
      </c>
      <c r="H17" t="str">
        <f>Transports!F68</f>
        <v>Parc roulant</v>
      </c>
    </row>
    <row r="18" spans="5:8">
      <c r="E18" s="629"/>
      <c r="F18" t="str">
        <f>Transports!F104</f>
        <v>Consommations</v>
      </c>
      <c r="G18" t="str">
        <f>Transports!F152</f>
        <v>Trafic</v>
      </c>
      <c r="H18" t="str">
        <f>Transports!F199</f>
        <v>Aérien</v>
      </c>
    </row>
    <row r="19" spans="5:8">
      <c r="E19" s="629"/>
      <c r="F19" t="str">
        <f>Transports!F221</f>
        <v>Maritime</v>
      </c>
    </row>
    <row r="20" spans="5:8">
      <c r="E20" s="629" t="s">
        <v>118</v>
      </c>
      <c r="F20" t="str">
        <f>Agriculture!F11</f>
        <v>Régimes alimentaires</v>
      </c>
      <c r="G20" t="str">
        <f>Agriculture!F89</f>
        <v>Elevage</v>
      </c>
      <c r="H20" t="str">
        <f>Agriculture!F157</f>
        <v>Cultures et prairies</v>
      </c>
    </row>
    <row r="21" spans="5:8">
      <c r="E21" s="629"/>
      <c r="F21" t="str">
        <f>Agriculture!F261</f>
        <v>Energie</v>
      </c>
    </row>
    <row r="22" spans="5:8">
      <c r="E22" s="629"/>
      <c r="F22" s="399"/>
    </row>
    <row r="23" spans="5:8">
      <c r="E23" s="629" t="s">
        <v>306</v>
      </c>
      <c r="F23" t="str">
        <f>Energie!F11</f>
        <v>Production d'électricité</v>
      </c>
      <c r="G23" t="str">
        <f>Energie!F35</f>
        <v>Production de chaleur</v>
      </c>
      <c r="H23" t="str">
        <f>Energie!F64</f>
        <v>Cogénération</v>
      </c>
    </row>
    <row r="24" spans="5:8">
      <c r="E24" s="629"/>
      <c r="F24" t="str">
        <f>Energie!F90</f>
        <v>Consommation de biocombustibles et de carburants de synthèse</v>
      </c>
    </row>
    <row r="25" spans="5:8">
      <c r="E25" s="629"/>
    </row>
    <row r="26" spans="5:8">
      <c r="E26" s="630" t="s">
        <v>594</v>
      </c>
      <c r="F26" t="str">
        <f>Cadrage!F14</f>
        <v>Population</v>
      </c>
      <c r="G26" t="str">
        <f>Cadrage!F28</f>
        <v>PIB</v>
      </c>
      <c r="H26" t="str">
        <f>Cadrage!F48</f>
        <v>Prix des énergies</v>
      </c>
    </row>
    <row r="27" spans="5:8">
      <c r="E27" s="630"/>
    </row>
    <row r="28" spans="5:8">
      <c r="E28" s="630"/>
    </row>
    <row r="29" spans="5:8" s="283" customFormat="1">
      <c r="E29" s="274" t="s">
        <v>308</v>
      </c>
      <c r="F29" s="283" t="s">
        <v>183</v>
      </c>
    </row>
    <row r="30" spans="5:8" s="283" customFormat="1">
      <c r="E30" s="274"/>
      <c r="F30" s="283" t="s">
        <v>228</v>
      </c>
    </row>
    <row r="31" spans="5:8" s="283" customFormat="1">
      <c r="E31" s="274" t="s">
        <v>308</v>
      </c>
      <c r="F31" s="283" t="str">
        <f>Bilans!F513</f>
        <v>Biomasse</v>
      </c>
      <c r="G31" s="283" t="str">
        <f>Bilans!F569</f>
        <v>Electricité</v>
      </c>
      <c r="H31" s="283" t="str">
        <f>Bilans!F597</f>
        <v>Chaleur</v>
      </c>
    </row>
    <row r="32" spans="5:8" s="283" customFormat="1">
      <c r="E32" s="274"/>
      <c r="F32" s="283" t="str">
        <f>Bilans!F628</f>
        <v>Charbon</v>
      </c>
      <c r="G32" s="283" t="str">
        <f>Bilans!F639</f>
        <v>Pétrole brut</v>
      </c>
      <c r="H32" s="283" t="str">
        <f>Bilans!F651</f>
        <v>Produits pétroliers</v>
      </c>
    </row>
    <row r="33" spans="5:8" s="283" customFormat="1">
      <c r="E33" s="274"/>
      <c r="F33" s="283" t="str">
        <f>Bilans!F663</f>
        <v>Carburants de synthèse</v>
      </c>
      <c r="G33" s="283" t="str">
        <f>Bilans!F678</f>
        <v>Gaz fossile</v>
      </c>
      <c r="H33" s="283" t="s">
        <v>691</v>
      </c>
    </row>
    <row r="34" spans="5:8" s="283" customFormat="1">
      <c r="E34" s="274" t="s">
        <v>814</v>
      </c>
      <c r="F34" s="283" t="str">
        <f>Bâtiments!F11</f>
        <v>Parc de logements / residentiel</v>
      </c>
      <c r="G34" s="283" t="str">
        <f>Bâtiments!F82</f>
        <v>Chauffage</v>
      </c>
      <c r="H34" s="283" t="str">
        <f>Bâtiments!F158</f>
        <v>Eau chaude sanitaire</v>
      </c>
    </row>
    <row r="35" spans="5:8" s="283" customFormat="1">
      <c r="E35" s="286"/>
      <c r="F35" s="283" t="str">
        <f>Bâtiments!F191</f>
        <v>Cuisson</v>
      </c>
      <c r="G35" s="283" t="str">
        <f>Bâtiments!F217</f>
        <v>Electricité spécifique</v>
      </c>
      <c r="H35" s="283" t="str">
        <f>Bâtiments!F235</f>
        <v>Climatisation</v>
      </c>
    </row>
    <row r="36" spans="5:8" s="283" customFormat="1">
      <c r="E36" s="286"/>
    </row>
    <row r="37" spans="5:8" s="283" customFormat="1">
      <c r="E37" s="286" t="s">
        <v>24</v>
      </c>
      <c r="F37" s="283" t="str">
        <f>Déchets!F11</f>
        <v>Quantité de déchets</v>
      </c>
      <c r="G37" s="283" t="str">
        <f>Déchets!F35</f>
        <v>Installations de stockage</v>
      </c>
      <c r="H37" s="283" t="str">
        <f>Déchets!F59</f>
        <v>Eaux usées</v>
      </c>
    </row>
    <row r="38" spans="5:8" s="399" customFormat="1">
      <c r="E38" s="403"/>
    </row>
    <row r="39" spans="5:8" s="399" customFormat="1">
      <c r="E39" s="403"/>
    </row>
    <row r="40" spans="5:8" s="283" customFormat="1">
      <c r="E40" s="286" t="s">
        <v>939</v>
      </c>
      <c r="F40" s="283" t="str">
        <f>UTCATF!F11</f>
        <v>Forêts</v>
      </c>
      <c r="G40" s="283" t="str">
        <f>UTCATF!F55</f>
        <v>Produits bois</v>
      </c>
      <c r="H40" s="283" t="str">
        <f>UTCATF!F96</f>
        <v>Autres utilisations des terres</v>
      </c>
    </row>
    <row r="41" spans="5:8" s="399" customFormat="1">
      <c r="E41" s="403"/>
    </row>
    <row r="42" spans="5:8" s="399" customFormat="1">
      <c r="E42" s="403"/>
    </row>
    <row r="43" spans="5:8" s="399" customFormat="1">
      <c r="E43" s="403" t="s">
        <v>940</v>
      </c>
      <c r="F43" s="399" t="str">
        <f>DROM!F11</f>
        <v>Cadrage macro-économique</v>
      </c>
      <c r="G43" s="399" t="str">
        <f>DROM!F33</f>
        <v>Mix électrique</v>
      </c>
    </row>
    <row r="44" spans="5:8" s="399" customFormat="1">
      <c r="E44" s="403"/>
    </row>
    <row r="45" spans="5:8" s="399" customFormat="1">
      <c r="E45" s="403"/>
    </row>
    <row r="46" spans="5:8" s="283" customFormat="1">
      <c r="E46" s="286"/>
    </row>
    <row r="47" spans="5:8">
      <c r="F47" t="str">
        <f>F14</f>
        <v>Consommation</v>
      </c>
    </row>
    <row r="48" spans="5:8">
      <c r="F48" t="str">
        <f>G14</f>
        <v>Production</v>
      </c>
    </row>
    <row r="49" spans="6:6">
      <c r="F49" t="str">
        <f>H14</f>
        <v>Mix énergétique</v>
      </c>
    </row>
    <row r="50" spans="6:6">
      <c r="F50" t="str">
        <f>F15</f>
        <v>Efficacité énergétique</v>
      </c>
    </row>
    <row r="51" spans="6:6">
      <c r="F51" t="str">
        <f>G15</f>
        <v>Recyclage</v>
      </c>
    </row>
    <row r="52" spans="6:6">
      <c r="F52" t="str">
        <f>H15</f>
        <v>Non-énergétique</v>
      </c>
    </row>
    <row r="53" spans="6:6">
      <c r="F53" t="str">
        <f>F16</f>
        <v>Capture et stockage du carbone</v>
      </c>
    </row>
  </sheetData>
  <mergeCells count="5">
    <mergeCell ref="E14:E16"/>
    <mergeCell ref="E17:E19"/>
    <mergeCell ref="E20:E22"/>
    <mergeCell ref="E23:E25"/>
    <mergeCell ref="E26:E28"/>
  </mergeCells>
  <dataValidations count="1">
    <dataValidation type="list" allowBlank="1" showInputMessage="1" showErrorMessage="1" sqref="F48:F53" xr:uid="{00000000-0002-0000-0300-000000000000}">
      <formula1>$F$47:$F$53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tabColor rgb="FF8B96D9"/>
  </sheetPr>
  <dimension ref="A1:T581"/>
  <sheetViews>
    <sheetView showGridLines="0" zoomScale="85" zoomScaleNormal="85" workbookViewId="0">
      <pane ySplit="6" topLeftCell="A7" activePane="bottomLeft" state="frozen"/>
      <selection pane="bottomLeft" activeCell="P462" sqref="P462"/>
    </sheetView>
  </sheetViews>
  <sheetFormatPr baseColWidth="10" defaultRowHeight="14.4" outlineLevelRow="3"/>
  <cols>
    <col min="1" max="1" width="3.109375" customWidth="1"/>
    <col min="2" max="2" width="3.109375" style="114" customWidth="1"/>
    <col min="3" max="3" width="3.109375" customWidth="1"/>
    <col min="4" max="4" width="7.33203125" customWidth="1"/>
    <col min="5" max="5" width="32.6640625" bestFit="1" customWidth="1"/>
    <col min="8" max="8" width="11.5546875" customWidth="1"/>
    <col min="10" max="10" width="11.5546875" customWidth="1"/>
    <col min="13" max="13" width="10.88671875" customWidth="1"/>
    <col min="14" max="14" width="12.5546875" customWidth="1"/>
    <col min="15" max="15" width="13.5546875" customWidth="1"/>
    <col min="16" max="16" width="13" customWidth="1"/>
  </cols>
  <sheetData>
    <row r="1" spans="1:20" ht="25.95" customHeight="1" thickBot="1">
      <c r="D1" s="368"/>
      <c r="E1" s="619" t="s">
        <v>0</v>
      </c>
      <c r="F1" s="619"/>
      <c r="G1" s="619"/>
      <c r="H1" s="619"/>
      <c r="I1" s="619"/>
      <c r="J1" s="619"/>
      <c r="K1" s="619"/>
      <c r="L1" s="619"/>
      <c r="M1" s="619"/>
    </row>
    <row r="2" spans="1:20" ht="10.95" customHeight="1" thickTop="1">
      <c r="D2" s="2"/>
      <c r="E2" s="150"/>
      <c r="F2" s="150"/>
      <c r="G2" s="150"/>
      <c r="H2" s="150"/>
      <c r="I2" s="150"/>
      <c r="J2" s="150"/>
      <c r="K2" s="150"/>
      <c r="L2" s="150"/>
      <c r="M2" s="150"/>
    </row>
    <row r="3" spans="1:20" ht="28.95" customHeight="1">
      <c r="D3" s="2"/>
      <c r="E3" s="620" t="str">
        <f>HYPERLINK("#Industrie!E"&amp;TEXT(MATCH(E8,C1:C1417,0),"#"),E8)</f>
        <v>Hypothèses</v>
      </c>
      <c r="F3" s="621"/>
      <c r="G3" s="621"/>
      <c r="H3" s="621"/>
      <c r="I3" s="621"/>
      <c r="J3" s="631" t="str">
        <f>HYPERLINK("#Industrie!E"&amp;TEXT(MATCH(E511,C1:C1417,0),"#"),E511)</f>
        <v>Résultats</v>
      </c>
      <c r="K3" s="631"/>
      <c r="L3" s="631"/>
      <c r="M3" s="631"/>
      <c r="O3" s="623" t="s">
        <v>181</v>
      </c>
      <c r="P3" s="623"/>
      <c r="Q3" s="623"/>
      <c r="R3" s="628" t="s">
        <v>137</v>
      </c>
      <c r="S3" s="628"/>
      <c r="T3" s="628"/>
    </row>
    <row r="4" spans="1:20" ht="26.4" customHeight="1">
      <c r="D4" s="184"/>
      <c r="E4" s="357" t="str">
        <f>IFERROR(IF(Moteur!$D$14=3,HYPERLINK("#Industrie!E"&amp;TEXT(MATCH(Moteur!F14,C1:C1417,0),"#"),Moteur!F14),IF(Moteur!$D$14=2,HYPERLINK("#Industrie!E"&amp;TEXT(MATCH(Moteur!F15,C1:C1417,0),"#"),Moteur!F15),HYPERLINK("#Industrie!E"&amp;TEXT(MATCH(Moteur!F16,C1:C1417,0),"#"),Moteur!F16))),"")</f>
        <v>Consommation</v>
      </c>
      <c r="F4" s="624" t="str">
        <f>IFERROR(IF(Moteur!$D$14=3,HYPERLINK("#Industrie!E"&amp;TEXT(MATCH(Moteur!G14,C1:C1417,0),"#"),Moteur!G14),IF(Moteur!$D$14=2,HYPERLINK("#Industrie!E"&amp;TEXT(MATCH(Moteur!G15,C1:C1417,0),"#"),Moteur!G15),HYPERLINK("#Industrie!E"&amp;TEXT(MATCH(Moteur!G16,C1:C1417,0),"#"),Moteur!G16))),"")</f>
        <v>Production</v>
      </c>
      <c r="G4" s="625"/>
      <c r="H4" s="624" t="str">
        <f>IFERROR(IF(Moteur!$D$14=3,HYPERLINK("#Industrie!E"&amp;TEXT(MATCH(Moteur!H14,C1:C1417,0),"#"),Moteur!H14),IF(Moteur!$D$14=2,HYPERLINK("#Industrie!E"&amp;TEXT(MATCH(Moteur!H15,C1:C1417,0),"#"),Moteur!H15),HYPERLINK("#Industrie!E"&amp;TEXT(MATCH(Moteur!H16,C1:C1417,0),"#"),Moteur!H16))),"")</f>
        <v>Mix énergétique</v>
      </c>
      <c r="I4" s="625"/>
      <c r="J4" s="632" t="str">
        <f>HYPERLINK("#Industrie!E"&amp;TEXT(MATCH(F563,C1:C1417,0),"#"),F563)</f>
        <v>Emissions de gaz à effet de serre</v>
      </c>
      <c r="K4" s="633"/>
      <c r="L4" s="632" t="str">
        <f>HYPERLINK("#Industrie!E"&amp;TEXT(MATCH(F514,C1:C1417,0),"#"),F514)</f>
        <v>Consommations d'énergie</v>
      </c>
      <c r="M4" s="633"/>
      <c r="O4" s="359" t="str">
        <f>IF(Moteur!$D$6=3,HYPERLINK("#"&amp;Moteur!F5&amp;"!E1",Moteur!F5),IF(Moteur!$D$6=2,HYPERLINK("#"&amp;Moteur!F6&amp;"!E1",Moteur!F6),HYPERLINK("#"&amp;Moteur!F7&amp;"!E1",Moteur!F7)))</f>
        <v>Cadrage</v>
      </c>
      <c r="P4" s="359" t="str">
        <f>IF(Moteur!$D$6=3,HYPERLINK("#"&amp;Moteur!G5&amp;"!E1",Moteur!G5),IF(Moteur!$D$6=2,HYPERLINK("#"&amp;Moteur!G6&amp;"!E1",Moteur!G6),HYPERLINK("#"&amp;Moteur!G7&amp;"!E1",Moteur!G7)))</f>
        <v>Industrie</v>
      </c>
      <c r="Q4" s="360" t="str">
        <f>IF(Moteur!$D$6=3,HYPERLINK("#"&amp;Moteur!H5&amp;"!E1",Moteur!H5),IF(Moteur!$D$6=2,HYPERLINK("#"&amp;Moteur!H6&amp;"!E1",Moteur!H6),HYPERLINK("#"&amp;Moteur!H7&amp;"!E1",Moteur!H7)))</f>
        <v>Agriculture</v>
      </c>
      <c r="R4" s="362" t="str">
        <f>IF(Moteur!$D$6=3,HYPERLINK("#"&amp;Moteur!J5&amp;"!E1",Moteur!J5),IF(Moteur!$D$6=2,HYPERLINK("#"&amp;Moteur!J5&amp;"!E1",Moteur!J5),HYPERLINK("#"&amp;Moteur!J5&amp;"!E1",Moteur!J5)))</f>
        <v>Bilans</v>
      </c>
      <c r="S4" s="358" t="str">
        <f>IF(Moteur!$D$6=3,HYPERLINK("#"&amp;Moteur!K5&amp;"!E1",Moteur!K5),IF(Moteur!$D$6=2,HYPERLINK("#"&amp;Moteur!K5&amp;"!E1",Moteur!K5),HYPERLINK("#"&amp;Moteur!K5&amp;"!E1",Moteur!K5)))</f>
        <v>GES</v>
      </c>
      <c r="T4" s="478">
        <f>IF(Moteur!$D$6=3,HYPERLINK("#"&amp;Moteur!L5&amp;"!E1",Moteur!L5),IF(Moteur!$D$6=2,HYPERLINK("#"&amp;Moteur!L5&amp;"!E1",Moteur!L5),HYPERLINK("#"&amp;Moteur!L5&amp;"!E1",Moteur!L5)))</f>
        <v>0</v>
      </c>
    </row>
    <row r="5" spans="1:20" ht="26.4" customHeight="1">
      <c r="D5" s="184"/>
      <c r="E5" s="357" t="str">
        <f>IFERROR(IF(Moteur!$D$14=3,HYPERLINK("#Industrie!E"&amp;TEXT(MATCH(Moteur!F15,$C1:$C1417,0),"#"),Moteur!F15),IF(Moteur!$D$14=2,HYPERLINK("#Industrie!E"&amp;TEXT(MATCH(Moteur!F16,$C1:$C1417,0),"#"),Moteur!F16),HYPERLINK("#Industrie!E"&amp;TEXT(MATCH(Moteur!F17,$C1:$C1417,0),"#"),Moteur!F17))),"")</f>
        <v>Efficacité énergétique</v>
      </c>
      <c r="F5" s="624" t="str">
        <f>IFERROR(IF(Moteur!$D$14=3,HYPERLINK("#Industrie!E"&amp;TEXT(MATCH(Moteur!G15,$C1:$C1417,0),"#"),Moteur!G15),IF(Moteur!$D$14=2,HYPERLINK("#Industrie!E"&amp;TEXT(MATCH(Moteur!G16,$C1:$C1417,0),"#"),Moteur!G16),HYPERLINK("#Industrie!E"&amp;TEXT(MATCH(Moteur!G17,$C1:$C1417,0),"#"),Moteur!G17))),"")</f>
        <v>Recyclage</v>
      </c>
      <c r="G5" s="625"/>
      <c r="H5" s="624" t="str">
        <f>IFERROR(IF(Moteur!$D$14=3,HYPERLINK("#Industrie!E"&amp;TEXT(MATCH(Moteur!H15,$C1:$C1417,0),"#"),Moteur!H15),IF(Moteur!$D$14=2,HYPERLINK("#Industrie!E"&amp;TEXT(MATCH(Moteur!H16,$C1:$C1417,0),"#"),Moteur!H16),HYPERLINK("#Industrie!E"&amp;TEXT(MATCH(Moteur!H17,$C1:$C1417,0),"#"),Moteur!H17))),"")</f>
        <v>Non-énergétique</v>
      </c>
      <c r="I5" s="625"/>
      <c r="J5" s="632"/>
      <c r="K5" s="633"/>
      <c r="L5" s="632"/>
      <c r="M5" s="633"/>
      <c r="O5" s="359" t="str">
        <f>IF(Moteur!$D$6=3,HYPERLINK("#"&amp;Moteur!F6&amp;"!E1",Moteur!F6),IF(Moteur!$D$6=2,HYPERLINK("#"&amp;Moteur!F7&amp;"!E1",Moteur!F7),""))</f>
        <v>Energie</v>
      </c>
      <c r="P5" s="359" t="str">
        <f>IF(Moteur!$D$6=3,HYPERLINK("#"&amp;Moteur!G6&amp;"!E1",Moteur!G6),IF(Moteur!$D$6=2,HYPERLINK("#"&amp;Moteur!G7&amp;"!E1",Moteur!G7),""))</f>
        <v>Transports</v>
      </c>
      <c r="Q5" s="361" t="str">
        <f>IF(Moteur!$D$6=3,HYPERLINK("#"&amp;Moteur!H6&amp;"!E1",Moteur!H6),IF(Moteur!$D$6=2,HYPERLINK("#"&amp;Moteur!H7&amp;"!E1",Moteur!H7),""))</f>
        <v>Déchets</v>
      </c>
      <c r="R5" s="479">
        <f>IF(Moteur!$D$6=3,HYPERLINK("#"&amp;Moteur!J6&amp;"!E1",Moteur!J6),IF(Moteur!$D$6=2,HYPERLINK("#"&amp;Moteur!J7&amp;"!E1",Moteur!J6),HYPERLINK("#"&amp;Moteur!J5&amp;"!E1",Moteur!J6)))</f>
        <v>0</v>
      </c>
      <c r="S5" s="358" t="str">
        <f>IFERROR(IF(Moteur!$D$6=3,HYPERLINK("#"&amp;Moteur!K6&amp;"!E1",Moteur!K6),IF(Moteur!$D$6=2,HYPERLINK("#"&amp;Moteur!K7&amp;"!E1",Moteur!K6),HYPERLINK("#"&amp;Moteur!K5&amp;"!E1",Moteur!K6))),"")</f>
        <v xml:space="preserve"> </v>
      </c>
      <c r="T5" s="358" t="str">
        <f>IF(Moteur!$D$6=3,HYPERLINK("#"&amp;Moteur!L6&amp;"!E1",Moteur!L6),IF(Moteur!$D$6=2,HYPERLINK("#"&amp;Moteur!L7&amp;"!E1",Moteur!L6),HYPERLINK("#"&amp;Moteur!L5&amp;"!E1",Moteur!L6)))</f>
        <v xml:space="preserve"> </v>
      </c>
    </row>
    <row r="6" spans="1:20" ht="11.4" customHeight="1">
      <c r="E6" s="152"/>
      <c r="F6" s="152"/>
      <c r="G6" s="152"/>
      <c r="H6" s="152"/>
      <c r="I6" s="152"/>
      <c r="J6" s="152"/>
      <c r="K6" s="152"/>
    </row>
    <row r="8" spans="1:20" ht="32.4" customHeight="1" thickBot="1">
      <c r="A8" s="363"/>
      <c r="C8" s="151" t="str">
        <f>IF(ISBLANK(E8),IF(ISBLANK(F8),"",F8),E8)</f>
        <v>Hypothèses</v>
      </c>
      <c r="D8" s="369"/>
      <c r="E8" s="617" t="s">
        <v>134</v>
      </c>
      <c r="F8" s="617"/>
      <c r="G8" s="617"/>
      <c r="H8" s="617"/>
      <c r="I8" s="617"/>
      <c r="J8" s="617"/>
      <c r="K8" s="617"/>
      <c r="L8" s="617"/>
      <c r="M8" s="369"/>
      <c r="N8" s="149"/>
    </row>
    <row r="9" spans="1:20" ht="15" thickTop="1">
      <c r="A9" s="363"/>
      <c r="C9" s="151" t="str">
        <f t="shared" ref="C9:C69" si="0">IF(ISBLANK(E9),IF(ISBLANK(F9),"",F9),E9)</f>
        <v/>
      </c>
      <c r="D9" s="3"/>
      <c r="E9" s="3"/>
      <c r="F9" s="3"/>
      <c r="G9" s="3"/>
      <c r="H9" s="3"/>
      <c r="I9" s="3"/>
      <c r="J9" s="3"/>
      <c r="K9" s="3"/>
      <c r="L9" s="3"/>
      <c r="M9" s="3"/>
    </row>
    <row r="10" spans="1:20" ht="14.4" customHeight="1">
      <c r="A10" s="363"/>
      <c r="C10" s="151" t="str">
        <f t="shared" si="0"/>
        <v/>
      </c>
      <c r="D10" s="112"/>
      <c r="E10" s="113"/>
      <c r="F10" s="113"/>
      <c r="G10" s="113"/>
      <c r="H10" s="113"/>
      <c r="I10" s="113"/>
      <c r="J10" s="113"/>
      <c r="K10" s="113"/>
      <c r="L10" s="113"/>
      <c r="M10" s="3"/>
    </row>
    <row r="11" spans="1:20" ht="28.8" thickBot="1">
      <c r="A11" s="363"/>
      <c r="B11" s="364"/>
      <c r="C11" s="151" t="str">
        <f t="shared" si="0"/>
        <v>Consommation</v>
      </c>
      <c r="D11" s="369"/>
      <c r="E11" s="370"/>
      <c r="F11" s="617" t="s">
        <v>138</v>
      </c>
      <c r="G11" s="617"/>
      <c r="H11" s="617"/>
      <c r="I11" s="617"/>
      <c r="J11" s="617"/>
      <c r="K11" s="617"/>
      <c r="L11" s="617"/>
      <c r="M11" s="617"/>
    </row>
    <row r="12" spans="1:20" ht="15" thickTop="1">
      <c r="A12" s="363"/>
      <c r="B12" s="364"/>
      <c r="C12" s="151" t="str">
        <f t="shared" si="0"/>
        <v/>
      </c>
    </row>
    <row r="13" spans="1:20" outlineLevel="1">
      <c r="A13" s="363"/>
      <c r="B13" s="364"/>
      <c r="C13" s="151" t="str">
        <f t="shared" si="0"/>
        <v/>
      </c>
      <c r="D13" s="115"/>
      <c r="E13" s="115"/>
      <c r="F13" s="115"/>
      <c r="G13" s="115"/>
      <c r="H13" s="115"/>
      <c r="I13" s="115"/>
      <c r="J13" s="115"/>
      <c r="K13" s="115"/>
      <c r="L13" s="115"/>
      <c r="M13" s="115"/>
    </row>
    <row r="14" spans="1:20" ht="19.2" outlineLevel="1">
      <c r="A14" s="363"/>
      <c r="B14" s="364"/>
      <c r="C14" s="151" t="str">
        <f t="shared" si="0"/>
        <v>Compléments</v>
      </c>
      <c r="D14" s="115"/>
      <c r="E14" s="125" t="s">
        <v>139</v>
      </c>
      <c r="F14" s="115"/>
      <c r="G14" s="115"/>
      <c r="H14" s="115"/>
      <c r="I14" s="115"/>
      <c r="J14" s="115"/>
      <c r="K14" s="115"/>
      <c r="L14" s="115"/>
      <c r="M14" s="115"/>
    </row>
    <row r="15" spans="1:20" ht="72" customHeight="1" outlineLevel="1">
      <c r="A15" s="363"/>
      <c r="B15" s="364"/>
      <c r="C15" s="151" t="str">
        <f t="shared" si="0"/>
        <v>L’outil Pepit0 de l’ADEME a été utilisé pour modéliser les niveaux de consommation (en Mt) de matières premières pour chacune des IGCE (Industries grandes consommatrices d'énergie)</v>
      </c>
      <c r="D15" s="115"/>
      <c r="E15" s="613" t="s">
        <v>1100</v>
      </c>
      <c r="F15" s="614"/>
      <c r="G15" s="614"/>
      <c r="H15" s="614"/>
      <c r="I15" s="614"/>
      <c r="J15" s="614"/>
      <c r="K15" s="614"/>
      <c r="L15" s="614"/>
      <c r="M15" s="115"/>
    </row>
    <row r="16" spans="1:20" outlineLevel="1">
      <c r="A16" s="363"/>
      <c r="B16" s="364"/>
      <c r="C16" s="151" t="str">
        <f t="shared" si="0"/>
        <v/>
      </c>
      <c r="D16" s="115"/>
      <c r="E16" s="115"/>
      <c r="F16" s="115"/>
      <c r="G16" s="115"/>
      <c r="H16" s="115"/>
      <c r="I16" s="115"/>
      <c r="J16" s="115"/>
      <c r="K16" s="115"/>
      <c r="L16" s="115"/>
      <c r="M16" s="115"/>
    </row>
    <row r="17" spans="1:13" ht="15" outlineLevel="1" thickBot="1">
      <c r="A17" s="363"/>
      <c r="B17" s="364"/>
      <c r="C17" s="151" t="str">
        <f t="shared" si="0"/>
        <v>Consommation des IGCE (Mt)</v>
      </c>
      <c r="D17" s="115"/>
      <c r="E17" s="615" t="s">
        <v>151</v>
      </c>
      <c r="F17" s="615"/>
      <c r="G17" s="615"/>
      <c r="H17" s="615"/>
      <c r="I17" s="615"/>
      <c r="J17" s="615"/>
      <c r="K17" s="615"/>
      <c r="L17" s="615"/>
      <c r="M17" s="115"/>
    </row>
    <row r="18" spans="1:13" outlineLevel="2">
      <c r="A18" s="363"/>
      <c r="B18" s="364"/>
      <c r="C18" s="151" t="str">
        <f t="shared" si="0"/>
        <v>Mégatonne (Mt)</v>
      </c>
      <c r="D18" s="115"/>
      <c r="E18" s="200" t="s">
        <v>150</v>
      </c>
      <c r="F18" s="201" t="s">
        <v>313</v>
      </c>
      <c r="G18" s="201" t="s">
        <v>314</v>
      </c>
      <c r="H18" s="201" t="s">
        <v>125</v>
      </c>
      <c r="I18" s="201" t="s">
        <v>315</v>
      </c>
      <c r="J18" s="201" t="s">
        <v>316</v>
      </c>
      <c r="K18" s="201" t="s">
        <v>317</v>
      </c>
      <c r="L18" s="202" t="s">
        <v>133</v>
      </c>
      <c r="M18" s="115"/>
    </row>
    <row r="19" spans="1:13" outlineLevel="2">
      <c r="A19" s="363"/>
      <c r="B19" s="364"/>
      <c r="C19" s="151" t="str">
        <f t="shared" si="0"/>
        <v>Total</v>
      </c>
      <c r="D19" s="115"/>
      <c r="E19" s="192" t="s">
        <v>144</v>
      </c>
      <c r="F19" s="132">
        <v>48.65932373239464</v>
      </c>
      <c r="G19" s="133">
        <v>48.444929708304592</v>
      </c>
      <c r="H19" s="133">
        <v>48.176937178192041</v>
      </c>
      <c r="I19" s="133">
        <v>47.562943935984364</v>
      </c>
      <c r="J19" s="133">
        <v>46.948950693776673</v>
      </c>
      <c r="K19" s="133">
        <v>46.334957451568982</v>
      </c>
      <c r="L19" s="194">
        <v>45.720964209361298</v>
      </c>
      <c r="M19" s="115"/>
    </row>
    <row r="20" spans="1:13" outlineLevel="2">
      <c r="A20" s="363"/>
      <c r="B20" s="364"/>
      <c r="C20" s="151" t="str">
        <f t="shared" si="0"/>
        <v>Acier</v>
      </c>
      <c r="D20" s="115"/>
      <c r="E20" s="193" t="s">
        <v>145</v>
      </c>
      <c r="F20" s="135">
        <v>11.894710364506894</v>
      </c>
      <c r="G20" s="136">
        <v>11.826462160013076</v>
      </c>
      <c r="H20" s="136">
        <v>11.741151904395803</v>
      </c>
      <c r="I20" s="136">
        <v>11.821739502654282</v>
      </c>
      <c r="J20" s="136">
        <v>11.90232710091276</v>
      </c>
      <c r="K20" s="136">
        <v>11.982914699171241</v>
      </c>
      <c r="L20" s="195">
        <v>12.06350229742972</v>
      </c>
      <c r="M20" s="115"/>
    </row>
    <row r="21" spans="1:13" outlineLevel="2">
      <c r="A21" s="363"/>
      <c r="B21" s="364"/>
      <c r="C21" s="151" t="str">
        <f t="shared" si="0"/>
        <v>Aluminium</v>
      </c>
      <c r="D21" s="115"/>
      <c r="E21" s="193" t="s">
        <v>269</v>
      </c>
      <c r="F21" s="135">
        <v>1.4327806472978444</v>
      </c>
      <c r="G21" s="136">
        <v>1.4741713763626338</v>
      </c>
      <c r="H21" s="136">
        <v>1.525909787693621</v>
      </c>
      <c r="I21" s="136">
        <v>1.594405706385122</v>
      </c>
      <c r="J21" s="136">
        <v>1.6629016250766231</v>
      </c>
      <c r="K21" s="136">
        <v>1.7313975437681244</v>
      </c>
      <c r="L21" s="195">
        <v>1.7998934624596254</v>
      </c>
      <c r="M21" s="115"/>
    </row>
    <row r="22" spans="1:13" outlineLevel="2">
      <c r="A22" s="363"/>
      <c r="B22" s="364"/>
      <c r="C22" s="151" t="str">
        <f t="shared" si="0"/>
        <v>Verre</v>
      </c>
      <c r="D22" s="115"/>
      <c r="E22" s="193" t="s">
        <v>131</v>
      </c>
      <c r="F22" s="135">
        <v>4.6574874767795533</v>
      </c>
      <c r="G22" s="136">
        <v>4.6732682483223673</v>
      </c>
      <c r="H22" s="136">
        <v>4.692994212750885</v>
      </c>
      <c r="I22" s="136">
        <v>4.5972812821064108</v>
      </c>
      <c r="J22" s="136">
        <v>4.5015683514619367</v>
      </c>
      <c r="K22" s="136">
        <v>4.4058554208174625</v>
      </c>
      <c r="L22" s="195">
        <v>4.3101424901729883</v>
      </c>
      <c r="M22" s="115"/>
    </row>
    <row r="23" spans="1:13" outlineLevel="2">
      <c r="A23" s="363"/>
      <c r="B23" s="364"/>
      <c r="C23" s="151" t="str">
        <f t="shared" si="0"/>
        <v>Clinker</v>
      </c>
      <c r="D23" s="115"/>
      <c r="E23" s="193" t="s">
        <v>136</v>
      </c>
      <c r="F23" s="135">
        <v>12.316068604032903</v>
      </c>
      <c r="G23" s="136">
        <v>12.090548005603234</v>
      </c>
      <c r="H23" s="136">
        <v>11.808647257566145</v>
      </c>
      <c r="I23" s="136">
        <v>10.790142034150239</v>
      </c>
      <c r="J23" s="136">
        <v>9.7716368107343339</v>
      </c>
      <c r="K23" s="136">
        <v>8.7531315873184283</v>
      </c>
      <c r="L23" s="195">
        <v>7.7346263639025219</v>
      </c>
      <c r="M23" s="115"/>
    </row>
    <row r="24" spans="1:13" outlineLevel="2">
      <c r="A24" s="363"/>
      <c r="B24" s="364"/>
      <c r="C24" s="151" t="str">
        <f t="shared" si="0"/>
        <v>Ammoniac</v>
      </c>
      <c r="D24" s="115"/>
      <c r="E24" s="193" t="s">
        <v>149</v>
      </c>
      <c r="F24" s="135">
        <v>2.0868236682318408</v>
      </c>
      <c r="G24" s="136">
        <v>2.047809613094381</v>
      </c>
      <c r="H24" s="136">
        <v>1.9990420441725565</v>
      </c>
      <c r="I24" s="136">
        <v>2.025286530816873</v>
      </c>
      <c r="J24" s="136">
        <v>2.0515310174611896</v>
      </c>
      <c r="K24" s="136">
        <v>2.0777755041055062</v>
      </c>
      <c r="L24" s="195">
        <v>2.1040199907498227</v>
      </c>
      <c r="M24" s="115"/>
    </row>
    <row r="25" spans="1:13" outlineLevel="2">
      <c r="A25" s="363"/>
      <c r="B25" s="364"/>
      <c r="C25" s="151" t="str">
        <f t="shared" si="0"/>
        <v>Chlore</v>
      </c>
      <c r="D25" s="115"/>
      <c r="E25" s="193" t="s">
        <v>155</v>
      </c>
      <c r="F25" s="135">
        <v>1.0324698981092404</v>
      </c>
      <c r="G25" s="136">
        <v>1.0251797612451976</v>
      </c>
      <c r="H25" s="136">
        <v>1.0160670901651443</v>
      </c>
      <c r="I25" s="136">
        <v>1.017053080113302</v>
      </c>
      <c r="J25" s="136">
        <v>1.0180390700614594</v>
      </c>
      <c r="K25" s="136">
        <v>1.0190250600096169</v>
      </c>
      <c r="L25" s="195">
        <v>1.0200110499577746</v>
      </c>
      <c r="M25" s="115"/>
    </row>
    <row r="26" spans="1:13" outlineLevel="2">
      <c r="A26" s="363"/>
      <c r="B26" s="364"/>
      <c r="C26" s="151" t="str">
        <f t="shared" si="0"/>
        <v>Ethylène</v>
      </c>
      <c r="D26" s="115"/>
      <c r="E26" s="193" t="s">
        <v>146</v>
      </c>
      <c r="F26" s="135">
        <v>2.7675692182146729</v>
      </c>
      <c r="G26" s="136">
        <v>2.5679119799203973</v>
      </c>
      <c r="H26" s="136">
        <v>2.3183404320525529</v>
      </c>
      <c r="I26" s="136">
        <v>2.1599510308100611</v>
      </c>
      <c r="J26" s="136">
        <v>2.0015616295675698</v>
      </c>
      <c r="K26" s="136">
        <v>1.843172228325078</v>
      </c>
      <c r="L26" s="195">
        <v>1.6847828270825864</v>
      </c>
      <c r="M26" s="115"/>
    </row>
    <row r="27" spans="1:13" outlineLevel="2">
      <c r="A27" s="363"/>
      <c r="B27" s="364"/>
      <c r="C27" s="151" t="str">
        <f t="shared" si="0"/>
        <v>Papiers cartons</v>
      </c>
      <c r="D27" s="115"/>
      <c r="E27" s="193" t="s">
        <v>147</v>
      </c>
      <c r="F27" s="135">
        <v>8.6621253197650976</v>
      </c>
      <c r="G27" s="136">
        <v>8.9020870414457747</v>
      </c>
      <c r="H27" s="136">
        <v>9.2020391935466215</v>
      </c>
      <c r="I27" s="136">
        <v>9.6491660768802312</v>
      </c>
      <c r="J27" s="136">
        <v>10.096292960213843</v>
      </c>
      <c r="K27" s="136">
        <v>10.543419843547454</v>
      </c>
      <c r="L27" s="195">
        <v>10.990546726881064</v>
      </c>
      <c r="M27" s="115"/>
    </row>
    <row r="28" spans="1:13" ht="15" outlineLevel="2" thickBot="1">
      <c r="A28" s="363"/>
      <c r="B28" s="364"/>
      <c r="C28" s="151" t="str">
        <f t="shared" si="0"/>
        <v>Sucre</v>
      </c>
      <c r="D28" s="115"/>
      <c r="E28" s="196" t="s">
        <v>148</v>
      </c>
      <c r="F28" s="197">
        <v>3.8092885354565915</v>
      </c>
      <c r="G28" s="198">
        <v>3.8374915222975363</v>
      </c>
      <c r="H28" s="198">
        <v>3.8727452558487179</v>
      </c>
      <c r="I28" s="198">
        <v>3.9079186920678373</v>
      </c>
      <c r="J28" s="198">
        <v>3.9430921282869571</v>
      </c>
      <c r="K28" s="198">
        <v>3.9782655645060765</v>
      </c>
      <c r="L28" s="199">
        <v>4.0134390007251959</v>
      </c>
      <c r="M28" s="115"/>
    </row>
    <row r="29" spans="1:13" ht="14.4" customHeight="1" outlineLevel="2">
      <c r="A29" s="363"/>
      <c r="B29" s="364"/>
      <c r="C29" s="151" t="str">
        <f t="shared" si="0"/>
        <v>Source des données: Pepito</v>
      </c>
      <c r="D29" s="115"/>
      <c r="E29" s="616" t="s">
        <v>312</v>
      </c>
      <c r="F29" s="616"/>
      <c r="G29" s="616"/>
      <c r="H29" s="616"/>
      <c r="I29" s="616"/>
      <c r="J29" s="616"/>
      <c r="K29" s="616"/>
      <c r="L29" s="616"/>
      <c r="M29" s="115"/>
    </row>
    <row r="30" spans="1:13" outlineLevel="1">
      <c r="A30" s="363"/>
      <c r="B30" s="364"/>
      <c r="C30" s="151" t="str">
        <f t="shared" si="0"/>
        <v/>
      </c>
      <c r="D30" s="115"/>
      <c r="E30" s="115"/>
      <c r="F30" s="115"/>
      <c r="G30" s="115"/>
      <c r="H30" s="115"/>
      <c r="I30" s="115"/>
      <c r="J30" s="115"/>
      <c r="K30" s="115"/>
      <c r="L30" s="115"/>
      <c r="M30" s="115"/>
    </row>
    <row r="31" spans="1:13">
      <c r="A31" s="363"/>
      <c r="B31" s="364"/>
      <c r="C31" s="151" t="str">
        <f t="shared" si="0"/>
        <v/>
      </c>
      <c r="D31" s="629"/>
      <c r="E31" s="629"/>
      <c r="F31" s="629"/>
    </row>
    <row r="32" spans="1:13" ht="28.8" thickBot="1">
      <c r="A32" s="363"/>
      <c r="B32" s="364"/>
      <c r="C32" s="151" t="str">
        <f t="shared" si="0"/>
        <v>Production</v>
      </c>
      <c r="D32" s="369"/>
      <c r="E32" s="370"/>
      <c r="F32" s="617" t="s">
        <v>135</v>
      </c>
      <c r="G32" s="617"/>
      <c r="H32" s="617"/>
      <c r="I32" s="617"/>
      <c r="J32" s="617"/>
      <c r="K32" s="617"/>
      <c r="L32" s="617"/>
      <c r="M32" s="617"/>
    </row>
    <row r="33" spans="1:13" ht="13.2" customHeight="1" thickTop="1">
      <c r="A33" s="363"/>
      <c r="B33" s="365"/>
      <c r="C33" s="151" t="str">
        <f t="shared" si="0"/>
        <v/>
      </c>
      <c r="D33" s="110"/>
      <c r="E33" s="110"/>
      <c r="F33" s="110"/>
    </row>
    <row r="34" spans="1:13" outlineLevel="1">
      <c r="A34" s="363"/>
      <c r="B34" s="365"/>
      <c r="C34" s="151" t="str">
        <f t="shared" si="0"/>
        <v/>
      </c>
      <c r="D34" s="115"/>
      <c r="E34" s="115"/>
      <c r="F34" s="115"/>
      <c r="G34" s="115"/>
      <c r="H34" s="115"/>
      <c r="I34" s="115"/>
      <c r="J34" s="115"/>
      <c r="K34" s="115"/>
      <c r="L34" s="115"/>
      <c r="M34" s="115"/>
    </row>
    <row r="35" spans="1:13" ht="19.2" outlineLevel="1">
      <c r="A35" s="363"/>
      <c r="B35" s="365"/>
      <c r="C35" s="151" t="str">
        <f t="shared" si="0"/>
        <v xml:space="preserve">Commentaire
IGCE = 
Diffus = </v>
      </c>
      <c r="D35" s="115"/>
      <c r="E35" s="611" t="s">
        <v>140</v>
      </c>
      <c r="F35" s="612"/>
      <c r="G35" s="612"/>
      <c r="H35" s="612"/>
      <c r="I35" s="612"/>
      <c r="J35" s="612"/>
      <c r="K35" s="612"/>
      <c r="L35" s="612"/>
      <c r="M35" s="115"/>
    </row>
    <row r="36" spans="1:13" ht="77.400000000000006" customHeight="1" outlineLevel="1">
      <c r="A36" s="363"/>
      <c r="B36" s="365"/>
      <c r="C36" s="151" t="str">
        <f t="shared" si="0"/>
        <v>Les niveaux de production sont exprimés en quantités physiques (Mt) pour les IGCE (Industries grandes consommatrices d'énergie) à partir des niveaux de consommations issus de chaque secteur et d'hypothèses sur l'évolution des balances commerciales, et en valeur ajoutée (VA en €) pour les industries diffuses reprises de données de cadrage de la Commission européenne et de facteurs de décorrélation pour traduire la montée en gamme et l’innovation technologique.</v>
      </c>
      <c r="D36" s="115"/>
      <c r="E36" s="613" t="s">
        <v>842</v>
      </c>
      <c r="F36" s="614"/>
      <c r="G36" s="614"/>
      <c r="H36" s="614"/>
      <c r="I36" s="614"/>
      <c r="J36" s="614"/>
      <c r="K36" s="614"/>
      <c r="L36" s="614"/>
      <c r="M36" s="115"/>
    </row>
    <row r="37" spans="1:13" ht="15" customHeight="1" outlineLevel="1">
      <c r="A37" s="363"/>
      <c r="B37" s="365"/>
      <c r="C37" s="151" t="str">
        <f t="shared" si="0"/>
        <v/>
      </c>
      <c r="D37" s="115"/>
      <c r="E37" s="115"/>
      <c r="F37" s="115"/>
      <c r="G37" s="115"/>
      <c r="H37" s="115"/>
      <c r="I37" s="115"/>
      <c r="J37" s="115"/>
      <c r="K37" s="115"/>
      <c r="L37" s="115"/>
      <c r="M37" s="115"/>
    </row>
    <row r="38" spans="1:13" ht="15" customHeight="1" outlineLevel="1" thickBot="1">
      <c r="A38" s="363"/>
      <c r="B38" s="365"/>
      <c r="C38" s="151" t="str">
        <f t="shared" si="0"/>
        <v>Production des IGCE (Mt)</v>
      </c>
      <c r="D38" s="115"/>
      <c r="E38" s="615" t="s">
        <v>143</v>
      </c>
      <c r="F38" s="615"/>
      <c r="G38" s="615"/>
      <c r="H38" s="615"/>
      <c r="I38" s="615"/>
      <c r="J38" s="615"/>
      <c r="K38" s="615"/>
      <c r="L38" s="615"/>
      <c r="M38" s="115"/>
    </row>
    <row r="39" spans="1:13" outlineLevel="2">
      <c r="A39" s="363"/>
      <c r="B39" s="365"/>
      <c r="C39" s="151" t="str">
        <f t="shared" si="0"/>
        <v>Mégatonne (Mt)</v>
      </c>
      <c r="D39" s="115"/>
      <c r="E39" s="200" t="s">
        <v>150</v>
      </c>
      <c r="F39" s="201" t="s">
        <v>313</v>
      </c>
      <c r="G39" s="201" t="s">
        <v>314</v>
      </c>
      <c r="H39" s="201" t="s">
        <v>125</v>
      </c>
      <c r="I39" s="201" t="s">
        <v>315</v>
      </c>
      <c r="J39" s="201" t="s">
        <v>316</v>
      </c>
      <c r="K39" s="201" t="s">
        <v>317</v>
      </c>
      <c r="L39" s="202" t="s">
        <v>133</v>
      </c>
      <c r="M39" s="115"/>
    </row>
    <row r="40" spans="1:13" outlineLevel="2">
      <c r="A40" s="363"/>
      <c r="B40" s="365"/>
      <c r="C40" s="151" t="str">
        <f t="shared" si="0"/>
        <v>Total</v>
      </c>
      <c r="D40" s="115"/>
      <c r="E40" s="192" t="s">
        <v>144</v>
      </c>
      <c r="F40" s="132">
        <v>47.771888512000004</v>
      </c>
      <c r="G40" s="133">
        <v>49.946083597351787</v>
      </c>
      <c r="H40" s="133">
        <v>50.114792738335467</v>
      </c>
      <c r="I40" s="133">
        <v>49.73875100616641</v>
      </c>
      <c r="J40" s="133">
        <v>49.370799985455797</v>
      </c>
      <c r="K40" s="133">
        <v>49.010939676203634</v>
      </c>
      <c r="L40" s="194">
        <v>48.659170078409929</v>
      </c>
      <c r="M40" s="115"/>
    </row>
    <row r="41" spans="1:13" outlineLevel="2">
      <c r="A41" s="363"/>
      <c r="B41" s="365"/>
      <c r="C41" s="151" t="str">
        <f t="shared" si="0"/>
        <v>Acier</v>
      </c>
      <c r="D41" s="115"/>
      <c r="E41" s="193" t="s">
        <v>145</v>
      </c>
      <c r="F41" s="135">
        <v>13.542126163999999</v>
      </c>
      <c r="G41" s="136">
        <v>14.549970718515258</v>
      </c>
      <c r="H41" s="136">
        <v>14.751964342315789</v>
      </c>
      <c r="I41" s="136">
        <v>15.048826045254007</v>
      </c>
      <c r="J41" s="136">
        <v>15.348247326301387</v>
      </c>
      <c r="K41" s="136">
        <v>15.650228185457932</v>
      </c>
      <c r="L41" s="195">
        <v>15.954768622723641</v>
      </c>
      <c r="M41" s="115"/>
    </row>
    <row r="42" spans="1:13" outlineLevel="3">
      <c r="A42" s="363"/>
      <c r="B42" s="365"/>
      <c r="C42" s="151" t="str">
        <f t="shared" si="0"/>
        <v xml:space="preserve">Haut fourneaux </v>
      </c>
      <c r="D42" s="115"/>
      <c r="E42" s="204" t="s">
        <v>152</v>
      </c>
      <c r="F42" s="135">
        <v>8.937676999999999</v>
      </c>
      <c r="G42" s="136">
        <v>9.699980479010172</v>
      </c>
      <c r="H42" s="136">
        <v>6.3077870255087731</v>
      </c>
      <c r="I42" s="136">
        <v>6.4055162782837556</v>
      </c>
      <c r="J42" s="136">
        <v>6.5012959639008585</v>
      </c>
      <c r="K42" s="136">
        <v>6.595080375608136</v>
      </c>
      <c r="L42" s="195">
        <v>6.6868238066536403</v>
      </c>
      <c r="M42" s="115"/>
    </row>
    <row r="43" spans="1:13" outlineLevel="3">
      <c r="A43" s="363"/>
      <c r="B43" s="365"/>
      <c r="C43" s="151" t="str">
        <f t="shared" si="0"/>
        <v>Procédé électrique</v>
      </c>
      <c r="D43" s="115"/>
      <c r="E43" s="204" t="s">
        <v>153</v>
      </c>
      <c r="F43" s="135">
        <v>4.604449164</v>
      </c>
      <c r="G43" s="136">
        <v>4.849990239505086</v>
      </c>
      <c r="H43" s="136">
        <v>5.444177316807016</v>
      </c>
      <c r="I43" s="136">
        <v>5.6433097669702512</v>
      </c>
      <c r="J43" s="136">
        <v>5.846951362400528</v>
      </c>
      <c r="K43" s="136">
        <v>6.0551478098497959</v>
      </c>
      <c r="L43" s="195">
        <v>6.2679448160700009</v>
      </c>
      <c r="M43" s="115"/>
    </row>
    <row r="44" spans="1:13" outlineLevel="3">
      <c r="A44" s="363"/>
      <c r="B44" s="365"/>
      <c r="C44" s="151" t="str">
        <f t="shared" si="0"/>
        <v>Réduction directe du fer (DRI)</v>
      </c>
      <c r="D44" s="115"/>
      <c r="E44" s="204" t="s">
        <v>154</v>
      </c>
      <c r="F44" s="135">
        <v>0</v>
      </c>
      <c r="G44" s="136">
        <v>0</v>
      </c>
      <c r="H44" s="136">
        <v>3</v>
      </c>
      <c r="I44" s="136">
        <v>3</v>
      </c>
      <c r="J44" s="136">
        <v>3</v>
      </c>
      <c r="K44" s="136">
        <v>3</v>
      </c>
      <c r="L44" s="195">
        <v>3</v>
      </c>
      <c r="M44" s="115"/>
    </row>
    <row r="45" spans="1:13" outlineLevel="2">
      <c r="A45" s="363"/>
      <c r="B45" s="365"/>
      <c r="C45" s="151" t="str">
        <f t="shared" si="0"/>
        <v>Aluminium</v>
      </c>
      <c r="D45" s="115"/>
      <c r="E45" s="193" t="s">
        <v>269</v>
      </c>
      <c r="F45" s="135">
        <v>0.85499999999999998</v>
      </c>
      <c r="G45" s="136">
        <v>0.95187255885087707</v>
      </c>
      <c r="H45" s="136">
        <v>1.0012942634122957</v>
      </c>
      <c r="I45" s="136">
        <v>1.0629740017105727</v>
      </c>
      <c r="J45" s="136">
        <v>1.1260914500933976</v>
      </c>
      <c r="K45" s="136">
        <v>1.1906466085607714</v>
      </c>
      <c r="L45" s="195">
        <v>1.2566394771126934</v>
      </c>
      <c r="M45" s="115"/>
    </row>
    <row r="46" spans="1:13" outlineLevel="3">
      <c r="A46" s="363"/>
      <c r="B46" s="365"/>
      <c r="C46" s="151" t="str">
        <f t="shared" si="0"/>
        <v>Aluminium recyclé</v>
      </c>
      <c r="D46" s="115"/>
      <c r="E46" s="204" t="s">
        <v>266</v>
      </c>
      <c r="F46" s="135">
        <v>0.42499999999999993</v>
      </c>
      <c r="G46" s="136">
        <v>0.48201206171597599</v>
      </c>
      <c r="H46" s="136">
        <v>0.50703837168537524</v>
      </c>
      <c r="I46" s="136">
        <v>0.54624424630456614</v>
      </c>
      <c r="J46" s="136">
        <v>0.58712491456465332</v>
      </c>
      <c r="K46" s="136">
        <v>0.62971272494253983</v>
      </c>
      <c r="L46" s="195">
        <v>0.67404002591512768</v>
      </c>
      <c r="M46" s="115"/>
    </row>
    <row r="47" spans="1:13" outlineLevel="2">
      <c r="A47" s="363"/>
      <c r="B47" s="365"/>
      <c r="C47" s="151" t="str">
        <f t="shared" si="0"/>
        <v>Verre</v>
      </c>
      <c r="D47" s="115"/>
      <c r="E47" s="193" t="s">
        <v>131</v>
      </c>
      <c r="F47" s="135">
        <v>5.6717455999999995</v>
      </c>
      <c r="G47" s="136">
        <v>5.7648694163429743</v>
      </c>
      <c r="H47" s="136">
        <v>5.7892030524621196</v>
      </c>
      <c r="I47" s="136">
        <v>5.6711331028462455</v>
      </c>
      <c r="J47" s="136">
        <v>5.5530631532303714</v>
      </c>
      <c r="K47" s="136">
        <v>5.4349932036144972</v>
      </c>
      <c r="L47" s="195">
        <v>5.3169232539986231</v>
      </c>
      <c r="M47" s="115"/>
    </row>
    <row r="48" spans="1:13" outlineLevel="2">
      <c r="A48" s="363"/>
      <c r="B48" s="365"/>
      <c r="C48" s="151" t="str">
        <f t="shared" si="0"/>
        <v>Clinker</v>
      </c>
      <c r="D48" s="115"/>
      <c r="E48" s="193" t="s">
        <v>136</v>
      </c>
      <c r="F48" s="135">
        <v>12.222</v>
      </c>
      <c r="G48" s="136">
        <v>12.452881392846672</v>
      </c>
      <c r="H48" s="136">
        <v>12.16253255355223</v>
      </c>
      <c r="I48" s="136">
        <v>11.113504441731731</v>
      </c>
      <c r="J48" s="136">
        <v>10.064476329911232</v>
      </c>
      <c r="K48" s="136">
        <v>9.0154482180907305</v>
      </c>
      <c r="L48" s="195">
        <v>7.9664201062702302</v>
      </c>
      <c r="M48" s="115"/>
    </row>
    <row r="49" spans="1:13" outlineLevel="2">
      <c r="A49" s="363"/>
      <c r="B49" s="365"/>
      <c r="C49" s="151" t="str">
        <f t="shared" si="0"/>
        <v>Ammoniac</v>
      </c>
      <c r="D49" s="115"/>
      <c r="E49" s="193" t="s">
        <v>149</v>
      </c>
      <c r="F49" s="135">
        <v>0.91649323400000005</v>
      </c>
      <c r="G49" s="136">
        <v>1.0793975209881574</v>
      </c>
      <c r="H49" s="136">
        <v>1.0817165936324733</v>
      </c>
      <c r="I49" s="136">
        <v>1.1243102517234584</v>
      </c>
      <c r="J49" s="136">
        <v>1.1676397479554146</v>
      </c>
      <c r="K49" s="136">
        <v>1.211705082328342</v>
      </c>
      <c r="L49" s="195">
        <v>1.2565062548422405</v>
      </c>
      <c r="M49" s="115"/>
    </row>
    <row r="50" spans="1:13" outlineLevel="2">
      <c r="A50" s="363"/>
      <c r="B50" s="365"/>
      <c r="C50" s="151" t="str">
        <f t="shared" si="0"/>
        <v>Chlore</v>
      </c>
      <c r="D50" s="116"/>
      <c r="E50" s="193" t="s">
        <v>155</v>
      </c>
      <c r="F50" s="135">
        <v>0.33368199999999998</v>
      </c>
      <c r="G50" s="136">
        <v>0.29413843639697546</v>
      </c>
      <c r="H50" s="136">
        <v>0.29152388339445506</v>
      </c>
      <c r="I50" s="136">
        <v>0.29180677772442304</v>
      </c>
      <c r="J50" s="136">
        <v>0.29208967205439101</v>
      </c>
      <c r="K50" s="136">
        <v>0.29237256638435899</v>
      </c>
      <c r="L50" s="195">
        <v>0.29265546071432702</v>
      </c>
      <c r="M50" s="115"/>
    </row>
    <row r="51" spans="1:13" outlineLevel="2">
      <c r="A51" s="363"/>
      <c r="B51" s="365"/>
      <c r="C51" s="151" t="str">
        <f t="shared" si="0"/>
        <v>Ethylène</v>
      </c>
      <c r="D51" s="117"/>
      <c r="E51" s="193" t="s">
        <v>146</v>
      </c>
      <c r="F51" s="135">
        <v>2.3138415139999999</v>
      </c>
      <c r="G51" s="136">
        <v>2.1232216636654648</v>
      </c>
      <c r="H51" s="136">
        <v>1.93749244382594</v>
      </c>
      <c r="I51" s="136">
        <v>1.8243371738404415</v>
      </c>
      <c r="J51" s="136">
        <v>1.7083638969097064</v>
      </c>
      <c r="K51" s="136">
        <v>1.5895726130337335</v>
      </c>
      <c r="L51" s="195">
        <v>1.4679633222125237</v>
      </c>
      <c r="M51" s="115"/>
    </row>
    <row r="52" spans="1:13" outlineLevel="2">
      <c r="A52" s="363"/>
      <c r="B52" s="365"/>
      <c r="C52" s="151" t="str">
        <f t="shared" si="0"/>
        <v>Papiers cartons</v>
      </c>
      <c r="D52" s="117"/>
      <c r="E52" s="193" t="s">
        <v>147</v>
      </c>
      <c r="F52" s="135">
        <v>7.3570000000000002</v>
      </c>
      <c r="G52" s="136">
        <v>7.7053430617138403</v>
      </c>
      <c r="H52" s="136">
        <v>8.0285194210156128</v>
      </c>
      <c r="I52" s="136">
        <v>8.4852608024025393</v>
      </c>
      <c r="J52" s="136">
        <v>8.9481777758584737</v>
      </c>
      <c r="K52" s="136">
        <v>9.4172703413834107</v>
      </c>
      <c r="L52" s="195">
        <v>9.8925384989773519</v>
      </c>
      <c r="M52" s="115"/>
    </row>
    <row r="53" spans="1:13" ht="15" outlineLevel="2" thickBot="1">
      <c r="A53" s="363"/>
      <c r="B53" s="365"/>
      <c r="C53" s="151" t="str">
        <f t="shared" si="0"/>
        <v>Sucre</v>
      </c>
      <c r="D53" s="117"/>
      <c r="E53" s="196" t="s">
        <v>148</v>
      </c>
      <c r="F53" s="197">
        <v>4.5599999999999996</v>
      </c>
      <c r="G53" s="198">
        <v>5.0243888280315714</v>
      </c>
      <c r="H53" s="198">
        <v>5.070546184724547</v>
      </c>
      <c r="I53" s="198">
        <v>5.1165984089329841</v>
      </c>
      <c r="J53" s="198">
        <v>5.162650633141423</v>
      </c>
      <c r="K53" s="198">
        <v>5.2087028573498602</v>
      </c>
      <c r="L53" s="199">
        <v>5.2547550815582982</v>
      </c>
      <c r="M53" s="115"/>
    </row>
    <row r="54" spans="1:13" outlineLevel="2">
      <c r="A54" s="363"/>
      <c r="B54" s="365"/>
      <c r="C54" s="151" t="str">
        <f t="shared" si="0"/>
        <v/>
      </c>
      <c r="D54" s="115"/>
      <c r="E54" s="616"/>
      <c r="F54" s="616"/>
      <c r="G54" s="616"/>
      <c r="H54" s="616"/>
      <c r="I54" s="616"/>
      <c r="J54" s="616"/>
      <c r="K54" s="616"/>
      <c r="L54" s="616"/>
      <c r="M54" s="115"/>
    </row>
    <row r="55" spans="1:13" outlineLevel="1">
      <c r="A55" s="363"/>
      <c r="B55" s="365"/>
      <c r="C55" s="151" t="str">
        <f t="shared" si="0"/>
        <v/>
      </c>
      <c r="D55" s="115"/>
      <c r="E55" s="115"/>
      <c r="F55" s="115"/>
      <c r="G55" s="115"/>
      <c r="H55" s="115"/>
      <c r="I55" s="115"/>
      <c r="J55" s="115"/>
      <c r="K55" s="115"/>
      <c r="L55" s="115"/>
      <c r="M55" s="115"/>
    </row>
    <row r="56" spans="1:13" ht="15" outlineLevel="1" thickBot="1">
      <c r="A56" s="363"/>
      <c r="B56" s="365"/>
      <c r="C56" s="151" t="str">
        <f t="shared" si="0"/>
        <v>Balances commerciales des IGCE (sans unité)</v>
      </c>
      <c r="D56" s="115"/>
      <c r="E56" s="615" t="s">
        <v>157</v>
      </c>
      <c r="F56" s="615"/>
      <c r="G56" s="615"/>
      <c r="H56" s="615"/>
      <c r="I56" s="615"/>
      <c r="J56" s="615"/>
      <c r="K56" s="615"/>
      <c r="L56" s="615"/>
      <c r="M56" s="115"/>
    </row>
    <row r="57" spans="1:13" outlineLevel="2">
      <c r="A57" s="363"/>
      <c r="B57" s="365"/>
      <c r="C57" s="151" t="str">
        <f t="shared" si="0"/>
        <v>Rapport Production/Consommation</v>
      </c>
      <c r="D57" s="115"/>
      <c r="E57" s="119" t="s">
        <v>156</v>
      </c>
      <c r="F57" s="228">
        <v>2021</v>
      </c>
      <c r="G57" s="228">
        <v>2025</v>
      </c>
      <c r="H57" s="228">
        <v>2030</v>
      </c>
      <c r="I57" s="228">
        <v>2035</v>
      </c>
      <c r="J57" s="228">
        <v>2040</v>
      </c>
      <c r="K57" s="228">
        <v>2045</v>
      </c>
      <c r="L57" s="229">
        <v>2050</v>
      </c>
      <c r="M57" s="115"/>
    </row>
    <row r="58" spans="1:13" outlineLevel="2">
      <c r="A58" s="363"/>
      <c r="B58" s="365"/>
      <c r="C58" s="151" t="str">
        <f t="shared" si="0"/>
        <v>Total</v>
      </c>
      <c r="D58" s="115"/>
      <c r="E58" s="129" t="s">
        <v>144</v>
      </c>
      <c r="F58" s="132">
        <f t="shared" ref="F58:L59" si="1">F40/F19</f>
        <v>0.98176227797009374</v>
      </c>
      <c r="G58" s="133">
        <f t="shared" si="1"/>
        <v>1.0309868111706613</v>
      </c>
      <c r="H58" s="133">
        <f t="shared" si="1"/>
        <v>1.0402237185185907</v>
      </c>
      <c r="I58" s="133">
        <f t="shared" si="1"/>
        <v>1.0457458451922257</v>
      </c>
      <c r="J58" s="133">
        <f t="shared" si="1"/>
        <v>1.0515847373773179</v>
      </c>
      <c r="K58" s="133">
        <f t="shared" si="1"/>
        <v>1.0577529876321066</v>
      </c>
      <c r="L58" s="134">
        <f t="shared" si="1"/>
        <v>1.0642638649437546</v>
      </c>
      <c r="M58" s="115"/>
    </row>
    <row r="59" spans="1:13" outlineLevel="2">
      <c r="A59" s="363"/>
      <c r="B59" s="365"/>
      <c r="C59" s="151" t="str">
        <f t="shared" si="0"/>
        <v>Acier</v>
      </c>
      <c r="D59" s="115"/>
      <c r="E59" s="122" t="s">
        <v>145</v>
      </c>
      <c r="F59" s="135">
        <f t="shared" si="1"/>
        <v>1.1384998666641684</v>
      </c>
      <c r="G59" s="136">
        <f t="shared" si="1"/>
        <v>1.2302893732422149</v>
      </c>
      <c r="H59" s="136">
        <f t="shared" si="1"/>
        <v>1.2564324576017758</v>
      </c>
      <c r="I59" s="136">
        <f t="shared" si="1"/>
        <v>1.2729789928017921</v>
      </c>
      <c r="J59" s="136">
        <f t="shared" si="1"/>
        <v>1.2895165118697138</v>
      </c>
      <c r="K59" s="136">
        <f t="shared" si="1"/>
        <v>1.3060451967116422</v>
      </c>
      <c r="L59" s="137">
        <f t="shared" si="1"/>
        <v>1.3225652243729422</v>
      </c>
      <c r="M59" s="115"/>
    </row>
    <row r="60" spans="1:13" outlineLevel="2">
      <c r="A60" s="363"/>
      <c r="B60" s="365"/>
      <c r="C60" s="151" t="str">
        <f t="shared" si="0"/>
        <v>Aluminium</v>
      </c>
      <c r="D60" s="115"/>
      <c r="E60" s="122" t="s">
        <v>269</v>
      </c>
      <c r="F60" s="135">
        <f t="shared" ref="F60:L60" si="2">F45/F21</f>
        <v>0.5967417284791563</v>
      </c>
      <c r="G60" s="136">
        <f t="shared" si="2"/>
        <v>0.64570006860364138</v>
      </c>
      <c r="H60" s="136">
        <f t="shared" si="2"/>
        <v>0.65619492809318036</v>
      </c>
      <c r="I60" s="136">
        <f t="shared" si="2"/>
        <v>0.66668978758271935</v>
      </c>
      <c r="J60" s="136">
        <f t="shared" si="2"/>
        <v>0.67718464707225823</v>
      </c>
      <c r="K60" s="136">
        <f t="shared" si="2"/>
        <v>0.68767950656179722</v>
      </c>
      <c r="L60" s="137">
        <f t="shared" si="2"/>
        <v>0.6981743660513362</v>
      </c>
      <c r="M60" s="115"/>
    </row>
    <row r="61" spans="1:13" outlineLevel="2">
      <c r="A61" s="363"/>
      <c r="B61" s="365"/>
      <c r="C61" s="151" t="str">
        <f t="shared" si="0"/>
        <v>Verre</v>
      </c>
      <c r="D61" s="115"/>
      <c r="E61" s="122" t="s">
        <v>131</v>
      </c>
      <c r="F61" s="135">
        <f t="shared" ref="F61:L67" si="3">F47/F22</f>
        <v>1.2177693720653353</v>
      </c>
      <c r="G61" s="136">
        <f t="shared" si="3"/>
        <v>1.2335841021778442</v>
      </c>
      <c r="H61" s="136">
        <f t="shared" si="3"/>
        <v>1.2335841021778442</v>
      </c>
      <c r="I61" s="136">
        <f t="shared" si="3"/>
        <v>1.2335841021778442</v>
      </c>
      <c r="J61" s="136">
        <f t="shared" si="3"/>
        <v>1.2335841021778442</v>
      </c>
      <c r="K61" s="136">
        <f t="shared" si="3"/>
        <v>1.2335841021778442</v>
      </c>
      <c r="L61" s="137">
        <f t="shared" si="3"/>
        <v>1.2335841021778442</v>
      </c>
      <c r="M61" s="115"/>
    </row>
    <row r="62" spans="1:13" outlineLevel="2">
      <c r="A62" s="363"/>
      <c r="B62" s="365"/>
      <c r="C62" s="151" t="str">
        <f t="shared" si="0"/>
        <v>Clinker</v>
      </c>
      <c r="D62" s="115"/>
      <c r="E62" s="122" t="s">
        <v>136</v>
      </c>
      <c r="F62" s="135">
        <f t="shared" si="3"/>
        <v>0.99236212406269797</v>
      </c>
      <c r="G62" s="136">
        <f t="shared" si="3"/>
        <v>1.0299683179848853</v>
      </c>
      <c r="H62" s="136">
        <f t="shared" si="3"/>
        <v>1.0299683179848853</v>
      </c>
      <c r="I62" s="136">
        <f t="shared" si="3"/>
        <v>1.0299683179848853</v>
      </c>
      <c r="J62" s="136">
        <f t="shared" si="3"/>
        <v>1.0299683179848853</v>
      </c>
      <c r="K62" s="136">
        <f t="shared" si="3"/>
        <v>1.0299683179848853</v>
      </c>
      <c r="L62" s="137">
        <f t="shared" si="3"/>
        <v>1.0299683179848853</v>
      </c>
      <c r="M62" s="115"/>
    </row>
    <row r="63" spans="1:13" outlineLevel="2">
      <c r="A63" s="363"/>
      <c r="B63" s="365"/>
      <c r="C63" s="151" t="str">
        <f t="shared" si="0"/>
        <v>Ammoniac</v>
      </c>
      <c r="D63" s="115"/>
      <c r="E63" s="122" t="s">
        <v>149</v>
      </c>
      <c r="F63" s="135">
        <f t="shared" si="3"/>
        <v>0.43918096576724275</v>
      </c>
      <c r="G63" s="136">
        <f t="shared" si="3"/>
        <v>0.52709857112015102</v>
      </c>
      <c r="H63" s="136">
        <f t="shared" si="3"/>
        <v>0.54111748013795147</v>
      </c>
      <c r="I63" s="136">
        <f t="shared" si="3"/>
        <v>0.55513638915575192</v>
      </c>
      <c r="J63" s="136">
        <f t="shared" si="3"/>
        <v>0.56915529817355237</v>
      </c>
      <c r="K63" s="136">
        <f t="shared" si="3"/>
        <v>0.58317420719135282</v>
      </c>
      <c r="L63" s="137">
        <f t="shared" si="3"/>
        <v>0.59719311620915327</v>
      </c>
      <c r="M63" s="115"/>
    </row>
    <row r="64" spans="1:13" outlineLevel="2">
      <c r="A64" s="363"/>
      <c r="B64" s="365"/>
      <c r="C64" s="151" t="str">
        <f t="shared" si="0"/>
        <v>Chlore</v>
      </c>
      <c r="D64" s="115"/>
      <c r="E64" s="122" t="s">
        <v>155</v>
      </c>
      <c r="F64" s="135">
        <f t="shared" si="3"/>
        <v>0.32318811484099536</v>
      </c>
      <c r="G64" s="136">
        <f t="shared" si="3"/>
        <v>0.28691401012414725</v>
      </c>
      <c r="H64" s="136">
        <f t="shared" si="3"/>
        <v>0.28691401012414725</v>
      </c>
      <c r="I64" s="136">
        <f t="shared" si="3"/>
        <v>0.28691401012414725</v>
      </c>
      <c r="J64" s="136">
        <f t="shared" si="3"/>
        <v>0.28691401012414725</v>
      </c>
      <c r="K64" s="136">
        <f t="shared" si="3"/>
        <v>0.28691401012414725</v>
      </c>
      <c r="L64" s="137">
        <f t="shared" si="3"/>
        <v>0.28691401012414725</v>
      </c>
      <c r="M64" s="115"/>
    </row>
    <row r="65" spans="1:13" outlineLevel="2">
      <c r="A65" s="363"/>
      <c r="B65" s="365"/>
      <c r="C65" s="151" t="str">
        <f t="shared" si="0"/>
        <v>Ethylène</v>
      </c>
      <c r="D65" s="115"/>
      <c r="E65" s="122" t="s">
        <v>146</v>
      </c>
      <c r="F65" s="135">
        <f t="shared" si="3"/>
        <v>0.83605551715618243</v>
      </c>
      <c r="G65" s="136">
        <f t="shared" si="3"/>
        <v>0.82682805340208065</v>
      </c>
      <c r="H65" s="136">
        <f t="shared" si="3"/>
        <v>0.83572387257663128</v>
      </c>
      <c r="I65" s="136">
        <f t="shared" si="3"/>
        <v>0.8446196917511819</v>
      </c>
      <c r="J65" s="136">
        <f t="shared" si="3"/>
        <v>0.85351551092573263</v>
      </c>
      <c r="K65" s="136">
        <f t="shared" si="3"/>
        <v>0.86241133010028326</v>
      </c>
      <c r="L65" s="137">
        <f t="shared" si="3"/>
        <v>0.87130714927483388</v>
      </c>
      <c r="M65" s="115"/>
    </row>
    <row r="66" spans="1:13" outlineLevel="2">
      <c r="A66" s="363"/>
      <c r="B66" s="365"/>
      <c r="C66" s="151" t="str">
        <f t="shared" si="0"/>
        <v>Papiers cartons</v>
      </c>
      <c r="D66" s="115"/>
      <c r="E66" s="122" t="s">
        <v>147</v>
      </c>
      <c r="F66" s="135">
        <f t="shared" si="3"/>
        <v>0.84932966545899724</v>
      </c>
      <c r="G66" s="136">
        <f t="shared" si="3"/>
        <v>0.86556590896491925</v>
      </c>
      <c r="H66" s="136">
        <f t="shared" si="3"/>
        <v>0.87247176980576258</v>
      </c>
      <c r="I66" s="136">
        <f t="shared" si="3"/>
        <v>0.87937763064660546</v>
      </c>
      <c r="J66" s="136">
        <f t="shared" si="3"/>
        <v>0.88628349148744867</v>
      </c>
      <c r="K66" s="136">
        <f t="shared" si="3"/>
        <v>0.89318935232829189</v>
      </c>
      <c r="L66" s="137">
        <f t="shared" si="3"/>
        <v>0.90009521316913521</v>
      </c>
      <c r="M66" s="115"/>
    </row>
    <row r="67" spans="1:13" ht="15" outlineLevel="2" thickBot="1">
      <c r="A67" s="363"/>
      <c r="B67" s="365"/>
      <c r="C67" s="151" t="str">
        <f t="shared" si="0"/>
        <v>Sucre</v>
      </c>
      <c r="D67" s="115"/>
      <c r="E67" s="123" t="s">
        <v>148</v>
      </c>
      <c r="F67" s="138">
        <f t="shared" si="3"/>
        <v>1.1970739306187594</v>
      </c>
      <c r="G67" s="139">
        <f t="shared" si="3"/>
        <v>1.3092898834662259</v>
      </c>
      <c r="H67" s="139">
        <f t="shared" si="3"/>
        <v>1.3092898834662259</v>
      </c>
      <c r="I67" s="139">
        <f t="shared" si="3"/>
        <v>1.3092898834662259</v>
      </c>
      <c r="J67" s="139">
        <f t="shared" si="3"/>
        <v>1.3092898834662259</v>
      </c>
      <c r="K67" s="139">
        <f t="shared" si="3"/>
        <v>1.3092898834662259</v>
      </c>
      <c r="L67" s="140">
        <f t="shared" si="3"/>
        <v>1.3092898834662259</v>
      </c>
      <c r="M67" s="115"/>
    </row>
    <row r="68" spans="1:13" outlineLevel="2">
      <c r="A68" s="363"/>
      <c r="B68" s="365"/>
      <c r="C68" s="151" t="str">
        <f t="shared" si="0"/>
        <v/>
      </c>
      <c r="D68" s="115"/>
      <c r="E68" s="616"/>
      <c r="F68" s="616"/>
      <c r="G68" s="616"/>
      <c r="H68" s="616"/>
      <c r="I68" s="616"/>
      <c r="J68" s="616"/>
      <c r="K68" s="616"/>
      <c r="L68" s="616"/>
      <c r="M68" s="115"/>
    </row>
    <row r="69" spans="1:13" outlineLevel="1">
      <c r="A69" s="363"/>
      <c r="B69" s="365"/>
      <c r="C69" s="151" t="str">
        <f t="shared" si="0"/>
        <v/>
      </c>
      <c r="D69" s="115"/>
      <c r="E69" s="142"/>
      <c r="F69" s="142"/>
      <c r="G69" s="142"/>
      <c r="H69" s="142"/>
      <c r="I69" s="142"/>
      <c r="J69" s="142"/>
      <c r="K69" s="142"/>
      <c r="L69" s="142"/>
      <c r="M69" s="115"/>
    </row>
    <row r="70" spans="1:13" ht="15" outlineLevel="1" thickBot="1">
      <c r="A70" s="363"/>
      <c r="B70" s="365"/>
      <c r="C70" s="151" t="str">
        <f t="shared" ref="C70:C121" si="4">IF(ISBLANK(E70),IF(ISBLANK(F70),"",F70),E70)</f>
        <v>Valeurs ajoutées de l'industrie diffuse (en Md€ de 2015)</v>
      </c>
      <c r="D70" s="115"/>
      <c r="E70" s="615" t="s">
        <v>1033</v>
      </c>
      <c r="F70" s="615"/>
      <c r="G70" s="615"/>
      <c r="H70" s="615"/>
      <c r="I70" s="615"/>
      <c r="J70" s="615"/>
      <c r="K70" s="615"/>
      <c r="L70" s="615"/>
      <c r="M70" s="115"/>
    </row>
    <row r="71" spans="1:13" outlineLevel="2">
      <c r="A71" s="363"/>
      <c r="B71" s="365"/>
      <c r="C71" s="151" t="str">
        <f t="shared" si="4"/>
        <v>VA en Md€ de 2015</v>
      </c>
      <c r="D71" s="115"/>
      <c r="E71" s="119" t="s">
        <v>158</v>
      </c>
      <c r="F71" s="228">
        <v>2021</v>
      </c>
      <c r="G71" s="228">
        <v>2025</v>
      </c>
      <c r="H71" s="228">
        <v>2030</v>
      </c>
      <c r="I71" s="228">
        <v>2035</v>
      </c>
      <c r="J71" s="228">
        <v>2040</v>
      </c>
      <c r="K71" s="228">
        <v>2045</v>
      </c>
      <c r="L71" s="229">
        <v>2050</v>
      </c>
      <c r="M71" s="115"/>
    </row>
    <row r="72" spans="1:13" outlineLevel="2">
      <c r="A72" s="363"/>
      <c r="B72" s="365"/>
      <c r="C72" s="151" t="str">
        <f t="shared" si="4"/>
        <v>Total diffus (hors construction)</v>
      </c>
      <c r="D72" s="115"/>
      <c r="E72" s="129" t="s">
        <v>163</v>
      </c>
      <c r="F72" s="132">
        <f>SUM(F73:F78)</f>
        <v>199.68700000000001</v>
      </c>
      <c r="G72" s="133">
        <f t="shared" ref="G72:L72" si="5">SUM(G73:G78)</f>
        <v>200.4303778683381</v>
      </c>
      <c r="H72" s="133">
        <f t="shared" si="5"/>
        <v>206.77859089529724</v>
      </c>
      <c r="I72" s="133">
        <f t="shared" si="5"/>
        <v>214.1332269691616</v>
      </c>
      <c r="J72" s="133">
        <f t="shared" si="5"/>
        <v>222.01865379617757</v>
      </c>
      <c r="K72" s="133">
        <f t="shared" si="5"/>
        <v>231.63672432963892</v>
      </c>
      <c r="L72" s="133">
        <f t="shared" si="5"/>
        <v>242.72284994818324</v>
      </c>
      <c r="M72" s="115"/>
    </row>
    <row r="73" spans="1:13" outlineLevel="2">
      <c r="A73" s="363"/>
      <c r="B73" s="365"/>
      <c r="C73" s="151" t="str">
        <f t="shared" si="4"/>
        <v>Métaux primaires</v>
      </c>
      <c r="D73" s="115"/>
      <c r="E73" s="122" t="s">
        <v>159</v>
      </c>
      <c r="F73" s="135">
        <v>24.457000000000001</v>
      </c>
      <c r="G73" s="136">
        <v>22.291626643844715</v>
      </c>
      <c r="H73" s="136">
        <v>22.094490723729503</v>
      </c>
      <c r="I73" s="136">
        <v>21.832688064822715</v>
      </c>
      <c r="J73" s="136">
        <v>21.334337388437291</v>
      </c>
      <c r="K73" s="136">
        <v>20.939508507572054</v>
      </c>
      <c r="L73" s="137">
        <v>20.745602569203395</v>
      </c>
      <c r="M73" s="115"/>
    </row>
    <row r="74" spans="1:13" outlineLevel="2">
      <c r="A74" s="363"/>
      <c r="B74" s="365"/>
      <c r="C74" s="151" t="str">
        <f t="shared" si="4"/>
        <v>Chimie</v>
      </c>
      <c r="D74" s="115"/>
      <c r="E74" s="122" t="s">
        <v>2</v>
      </c>
      <c r="F74" s="135">
        <v>46.328000000000003</v>
      </c>
      <c r="G74" s="136">
        <v>43.287563861177389</v>
      </c>
      <c r="H74" s="136">
        <v>43.796199578107903</v>
      </c>
      <c r="I74" s="136">
        <v>44.574237454194645</v>
      </c>
      <c r="J74" s="136">
        <v>45.047855649659617</v>
      </c>
      <c r="K74" s="136">
        <v>45.762211821321912</v>
      </c>
      <c r="L74" s="137">
        <v>46.950052368446826</v>
      </c>
      <c r="M74" s="115"/>
    </row>
    <row r="75" spans="1:13" outlineLevel="2">
      <c r="A75" s="363"/>
      <c r="B75" s="365"/>
      <c r="C75" s="151" t="str">
        <f t="shared" si="4"/>
        <v>Minéraux non-métalliques</v>
      </c>
      <c r="D75" s="115"/>
      <c r="E75" s="122" t="s">
        <v>160</v>
      </c>
      <c r="F75" s="135">
        <v>8.1720000000000006</v>
      </c>
      <c r="G75" s="136">
        <v>8.1467745991951439</v>
      </c>
      <c r="H75" s="136">
        <v>8.4591176530767775</v>
      </c>
      <c r="I75" s="136">
        <v>8.77062763919721</v>
      </c>
      <c r="J75" s="136">
        <v>9.0794045596064272</v>
      </c>
      <c r="K75" s="136">
        <v>9.4963669514484312</v>
      </c>
      <c r="L75" s="137">
        <v>9.9610270684606483</v>
      </c>
      <c r="M75" s="115"/>
    </row>
    <row r="76" spans="1:13" outlineLevel="2">
      <c r="A76" s="363"/>
      <c r="B76" s="365"/>
      <c r="C76" s="151" t="str">
        <f t="shared" si="4"/>
        <v>Industries Alimentaires et Agricoles</v>
      </c>
      <c r="D76" s="115"/>
      <c r="E76" s="122" t="s">
        <v>164</v>
      </c>
      <c r="F76" s="135">
        <v>44.859000000000002</v>
      </c>
      <c r="G76" s="136">
        <v>45.745157270423093</v>
      </c>
      <c r="H76" s="136">
        <v>46.869003929543297</v>
      </c>
      <c r="I76" s="136">
        <v>48.470311453077919</v>
      </c>
      <c r="J76" s="136">
        <v>50.339966882138476</v>
      </c>
      <c r="K76" s="136">
        <v>53.14586362358596</v>
      </c>
      <c r="L76" s="137">
        <v>56.4414580413723</v>
      </c>
      <c r="M76" s="115"/>
    </row>
    <row r="77" spans="1:13" outlineLevel="2">
      <c r="A77" s="363"/>
      <c r="B77" s="365"/>
      <c r="C77" s="151" t="str">
        <f t="shared" si="4"/>
        <v xml:space="preserve">Equipements </v>
      </c>
      <c r="D77" s="115"/>
      <c r="E77" s="122" t="s">
        <v>161</v>
      </c>
      <c r="F77" s="135">
        <v>52.09</v>
      </c>
      <c r="G77" s="136">
        <v>55.583393110236024</v>
      </c>
      <c r="H77" s="136">
        <v>58.741928914534448</v>
      </c>
      <c r="I77" s="136">
        <v>62.123637822374839</v>
      </c>
      <c r="J77" s="136">
        <v>66.058812754384789</v>
      </c>
      <c r="K77" s="136">
        <v>70.230134936210973</v>
      </c>
      <c r="L77" s="137">
        <v>74.577389763249002</v>
      </c>
      <c r="M77" s="115"/>
    </row>
    <row r="78" spans="1:13" outlineLevel="2">
      <c r="A78" s="363"/>
      <c r="B78" s="365"/>
      <c r="C78" s="151" t="str">
        <f t="shared" si="4"/>
        <v>Autres (textile, etc.)</v>
      </c>
      <c r="D78" s="115"/>
      <c r="E78" s="122" t="s">
        <v>162</v>
      </c>
      <c r="F78" s="135">
        <v>23.780999999999999</v>
      </c>
      <c r="G78" s="136">
        <v>25.375862383461751</v>
      </c>
      <c r="H78" s="136">
        <v>26.817850096305307</v>
      </c>
      <c r="I78" s="136">
        <v>28.361724535494258</v>
      </c>
      <c r="J78" s="136">
        <v>30.158276561950938</v>
      </c>
      <c r="K78" s="136">
        <v>32.062638489499577</v>
      </c>
      <c r="L78" s="137">
        <v>34.047320137451031</v>
      </c>
      <c r="M78" s="115"/>
    </row>
    <row r="79" spans="1:13" ht="15" outlineLevel="2" thickBot="1">
      <c r="A79" s="363"/>
      <c r="B79" s="365"/>
      <c r="C79" s="151" t="str">
        <f t="shared" si="4"/>
        <v>Construction</v>
      </c>
      <c r="D79" s="115"/>
      <c r="E79" s="122" t="s">
        <v>3</v>
      </c>
      <c r="F79" s="135">
        <v>108.227</v>
      </c>
      <c r="G79" s="136">
        <v>123.770999485225</v>
      </c>
      <c r="H79" s="136">
        <v>127.87272904958296</v>
      </c>
      <c r="I79" s="136">
        <v>132.27349589874774</v>
      </c>
      <c r="J79" s="136">
        <v>135.59359940341787</v>
      </c>
      <c r="K79" s="136">
        <v>139.77782534068737</v>
      </c>
      <c r="L79" s="137">
        <v>144.89022241550489</v>
      </c>
      <c r="M79" s="115"/>
    </row>
    <row r="80" spans="1:13" outlineLevel="2">
      <c r="A80" s="363"/>
      <c r="B80" s="365"/>
      <c r="C80" s="151" t="str">
        <f t="shared" si="4"/>
        <v/>
      </c>
      <c r="D80" s="115"/>
      <c r="E80" s="616"/>
      <c r="F80" s="616"/>
      <c r="G80" s="616"/>
      <c r="H80" s="616"/>
      <c r="I80" s="616"/>
      <c r="J80" s="616"/>
      <c r="K80" s="616"/>
      <c r="L80" s="616"/>
      <c r="M80" s="115"/>
    </row>
    <row r="81" spans="1:13" outlineLevel="1">
      <c r="A81" s="363"/>
      <c r="B81" s="365"/>
      <c r="C81" s="151" t="str">
        <f t="shared" si="4"/>
        <v/>
      </c>
      <c r="D81" s="115"/>
      <c r="E81" s="142"/>
      <c r="F81" s="142"/>
      <c r="G81" s="142"/>
      <c r="H81" s="142"/>
      <c r="I81" s="142"/>
      <c r="J81" s="142"/>
      <c r="K81" s="142"/>
      <c r="L81" s="142"/>
      <c r="M81" s="115"/>
    </row>
    <row r="82" spans="1:13" ht="15" outlineLevel="1" thickBot="1">
      <c r="A82" s="363"/>
      <c r="B82" s="365"/>
      <c r="C82" s="151" t="str">
        <f t="shared" si="4"/>
        <v>Coefficients de décorrélation valeur ajoutée - production des industries diffuses (sans unité)</v>
      </c>
      <c r="D82" s="115"/>
      <c r="E82" s="615" t="s">
        <v>1034</v>
      </c>
      <c r="F82" s="615"/>
      <c r="G82" s="615"/>
      <c r="H82" s="615"/>
      <c r="I82" s="615"/>
      <c r="J82" s="615"/>
      <c r="K82" s="615"/>
      <c r="L82" s="615"/>
      <c r="M82" s="115"/>
    </row>
    <row r="83" spans="1:13" outlineLevel="2">
      <c r="A83" s="363"/>
      <c r="B83" s="365"/>
      <c r="C83" s="151" t="str">
        <f t="shared" si="4"/>
        <v>sans unité</v>
      </c>
      <c r="D83" s="115"/>
      <c r="E83" s="227" t="s">
        <v>715</v>
      </c>
      <c r="F83" s="228">
        <v>2021</v>
      </c>
      <c r="G83" s="228">
        <v>2025</v>
      </c>
      <c r="H83" s="228">
        <v>2030</v>
      </c>
      <c r="I83" s="228">
        <v>2035</v>
      </c>
      <c r="J83" s="228">
        <v>2040</v>
      </c>
      <c r="K83" s="228">
        <v>2045</v>
      </c>
      <c r="L83" s="229">
        <v>2050</v>
      </c>
      <c r="M83" s="115"/>
    </row>
    <row r="84" spans="1:13" outlineLevel="2">
      <c r="A84" s="363"/>
      <c r="B84" s="365"/>
      <c r="C84" s="151" t="str">
        <f t="shared" si="4"/>
        <v>Métaux primaires</v>
      </c>
      <c r="D84" s="115"/>
      <c r="E84" s="122" t="s">
        <v>159</v>
      </c>
      <c r="F84" s="135">
        <v>1</v>
      </c>
      <c r="G84" s="136">
        <v>0.99448275862068969</v>
      </c>
      <c r="H84" s="136">
        <v>0.98758620689655174</v>
      </c>
      <c r="I84" s="136">
        <v>0.9806896551724138</v>
      </c>
      <c r="J84" s="136">
        <v>0.97379310344827585</v>
      </c>
      <c r="K84" s="136">
        <v>0.96689655172413791</v>
      </c>
      <c r="L84" s="137">
        <v>0.96</v>
      </c>
      <c r="M84" s="115"/>
    </row>
    <row r="85" spans="1:13" outlineLevel="2">
      <c r="A85" s="363"/>
      <c r="B85" s="365"/>
      <c r="C85" s="151" t="str">
        <f t="shared" si="4"/>
        <v>Chimie</v>
      </c>
      <c r="D85" s="115"/>
      <c r="E85" s="122" t="s">
        <v>2</v>
      </c>
      <c r="F85" s="135">
        <v>1</v>
      </c>
      <c r="G85" s="136">
        <v>0.99310344827586206</v>
      </c>
      <c r="H85" s="136">
        <v>0.98448275862068968</v>
      </c>
      <c r="I85" s="136">
        <v>0.97586206896551719</v>
      </c>
      <c r="J85" s="136">
        <v>0.96724137931034482</v>
      </c>
      <c r="K85" s="136">
        <v>0.95862068965517233</v>
      </c>
      <c r="L85" s="137">
        <v>0.95</v>
      </c>
      <c r="M85" s="115"/>
    </row>
    <row r="86" spans="1:13" outlineLevel="2">
      <c r="A86" s="363"/>
      <c r="B86" s="365"/>
      <c r="C86" s="151" t="str">
        <f t="shared" si="4"/>
        <v>Minéraux non-métalliques</v>
      </c>
      <c r="D86" s="115"/>
      <c r="E86" s="122" t="s">
        <v>160</v>
      </c>
      <c r="F86" s="135">
        <v>1</v>
      </c>
      <c r="G86" s="136">
        <v>0.99310344827586206</v>
      </c>
      <c r="H86" s="136">
        <v>0.98448275862068968</v>
      </c>
      <c r="I86" s="136">
        <v>0.97586206896551719</v>
      </c>
      <c r="J86" s="136">
        <v>0.96724137931034482</v>
      </c>
      <c r="K86" s="136">
        <v>0.95862068965517233</v>
      </c>
      <c r="L86" s="137">
        <v>0.95</v>
      </c>
      <c r="M86" s="115"/>
    </row>
    <row r="87" spans="1:13" outlineLevel="2">
      <c r="A87" s="363"/>
      <c r="B87" s="365"/>
      <c r="C87" s="151" t="str">
        <f t="shared" si="4"/>
        <v>Industries Alimentaires et Agricoles</v>
      </c>
      <c r="D87" s="115"/>
      <c r="E87" s="122" t="s">
        <v>164</v>
      </c>
      <c r="F87" s="135">
        <v>1</v>
      </c>
      <c r="G87" s="136">
        <v>0.99310344827586206</v>
      </c>
      <c r="H87" s="136">
        <v>0.98448275862068968</v>
      </c>
      <c r="I87" s="136">
        <v>0.97586206896551719</v>
      </c>
      <c r="J87" s="136">
        <v>0.96724137931034482</v>
      </c>
      <c r="K87" s="136">
        <v>0.95862068965517233</v>
      </c>
      <c r="L87" s="137">
        <v>0.95</v>
      </c>
      <c r="M87" s="115"/>
    </row>
    <row r="88" spans="1:13" outlineLevel="2">
      <c r="A88" s="363"/>
      <c r="B88" s="365"/>
      <c r="C88" s="151" t="str">
        <f t="shared" si="4"/>
        <v xml:space="preserve">Equipements </v>
      </c>
      <c r="D88" s="115"/>
      <c r="E88" s="122" t="s">
        <v>161</v>
      </c>
      <c r="F88" s="135">
        <v>1</v>
      </c>
      <c r="G88" s="136">
        <v>0.98965517241379308</v>
      </c>
      <c r="H88" s="136">
        <v>0.97672413793103452</v>
      </c>
      <c r="I88" s="136">
        <v>0.96379310344827585</v>
      </c>
      <c r="J88" s="136">
        <v>0.95086206896551728</v>
      </c>
      <c r="K88" s="136">
        <v>0.93793103448275861</v>
      </c>
      <c r="L88" s="137">
        <v>0.92500000000000004</v>
      </c>
      <c r="M88" s="115"/>
    </row>
    <row r="89" spans="1:13" outlineLevel="2">
      <c r="A89" s="363"/>
      <c r="B89" s="365"/>
      <c r="C89" s="151" t="str">
        <f t="shared" si="4"/>
        <v>Autres (textile, etc.)</v>
      </c>
      <c r="D89" s="115"/>
      <c r="E89" s="122" t="s">
        <v>162</v>
      </c>
      <c r="F89" s="135">
        <v>1</v>
      </c>
      <c r="G89" s="136">
        <v>0.98620689655172411</v>
      </c>
      <c r="H89" s="136">
        <v>0.96896551724137936</v>
      </c>
      <c r="I89" s="136">
        <v>0.9517241379310345</v>
      </c>
      <c r="J89" s="136">
        <v>0.93448275862068964</v>
      </c>
      <c r="K89" s="136">
        <v>0.91724137931034488</v>
      </c>
      <c r="L89" s="137">
        <v>0.9</v>
      </c>
      <c r="M89" s="115"/>
    </row>
    <row r="90" spans="1:13" ht="15" outlineLevel="2" thickBot="1">
      <c r="A90" s="363"/>
      <c r="B90" s="365"/>
      <c r="C90" s="151" t="str">
        <f t="shared" si="4"/>
        <v>Construction</v>
      </c>
      <c r="D90" s="115"/>
      <c r="E90" s="122" t="s">
        <v>3</v>
      </c>
      <c r="F90" s="135">
        <v>1</v>
      </c>
      <c r="G90" s="136">
        <v>1</v>
      </c>
      <c r="H90" s="136">
        <v>1</v>
      </c>
      <c r="I90" s="136">
        <v>1</v>
      </c>
      <c r="J90" s="136">
        <v>1</v>
      </c>
      <c r="K90" s="136">
        <v>1</v>
      </c>
      <c r="L90" s="137">
        <v>1</v>
      </c>
      <c r="M90" s="115"/>
    </row>
    <row r="91" spans="1:13" outlineLevel="2">
      <c r="A91" s="363"/>
      <c r="B91" s="365"/>
      <c r="C91" s="151" t="str">
        <f t="shared" si="4"/>
        <v/>
      </c>
      <c r="D91" s="115"/>
      <c r="E91" s="616"/>
      <c r="F91" s="616"/>
      <c r="G91" s="616"/>
      <c r="H91" s="616"/>
      <c r="I91" s="616"/>
      <c r="J91" s="616"/>
      <c r="K91" s="616"/>
      <c r="L91" s="616"/>
      <c r="M91" s="115"/>
    </row>
    <row r="92" spans="1:13" s="399" customFormat="1" outlineLevel="2">
      <c r="A92" s="363"/>
      <c r="B92" s="365"/>
      <c r="C92" s="151"/>
      <c r="D92" s="115"/>
      <c r="E92" s="588"/>
      <c r="F92" s="588"/>
      <c r="G92" s="588"/>
      <c r="H92" s="588"/>
      <c r="I92" s="588"/>
      <c r="J92" s="588"/>
      <c r="K92" s="588"/>
      <c r="L92" s="588"/>
      <c r="M92" s="115"/>
    </row>
    <row r="93" spans="1:13" outlineLevel="1">
      <c r="A93" s="363"/>
      <c r="B93" s="365"/>
      <c r="C93" s="151" t="str">
        <f t="shared" si="4"/>
        <v/>
      </c>
      <c r="D93" s="115"/>
      <c r="E93" s="142"/>
      <c r="F93" s="142"/>
      <c r="G93" s="142"/>
      <c r="H93" s="142"/>
      <c r="I93" s="142"/>
      <c r="J93" s="142"/>
      <c r="K93" s="142"/>
      <c r="L93" s="142"/>
      <c r="M93" s="115"/>
    </row>
    <row r="94" spans="1:13" ht="28.8" thickBot="1">
      <c r="A94" s="363"/>
      <c r="B94" s="365"/>
      <c r="C94" s="151" t="str">
        <f t="shared" si="4"/>
        <v>Mix énergétique</v>
      </c>
      <c r="D94" s="369"/>
      <c r="E94" s="370"/>
      <c r="F94" s="617" t="s">
        <v>256</v>
      </c>
      <c r="G94" s="617"/>
      <c r="H94" s="617"/>
      <c r="I94" s="617"/>
      <c r="J94" s="617"/>
      <c r="K94" s="617"/>
      <c r="L94" s="617"/>
      <c r="M94" s="617"/>
    </row>
    <row r="95" spans="1:13" ht="15" thickTop="1">
      <c r="A95" s="363"/>
      <c r="B95" s="365"/>
      <c r="C95" s="151" t="str">
        <f t="shared" si="4"/>
        <v/>
      </c>
      <c r="D95" s="173"/>
      <c r="E95" s="173"/>
      <c r="F95" s="173"/>
    </row>
    <row r="96" spans="1:13" outlineLevel="1">
      <c r="A96" s="363"/>
      <c r="B96" s="365"/>
      <c r="C96" s="151" t="str">
        <f t="shared" si="4"/>
        <v/>
      </c>
      <c r="D96" s="115"/>
      <c r="E96" s="115"/>
      <c r="F96" s="115"/>
      <c r="G96" s="115"/>
      <c r="H96" s="115"/>
      <c r="I96" s="115"/>
      <c r="J96" s="115"/>
      <c r="K96" s="115"/>
      <c r="L96" s="115"/>
      <c r="M96" s="115"/>
    </row>
    <row r="97" spans="1:13" ht="19.2" outlineLevel="1">
      <c r="A97" s="363"/>
      <c r="B97" s="365"/>
      <c r="C97" s="151" t="str">
        <f t="shared" si="4"/>
        <v/>
      </c>
      <c r="D97" s="115"/>
      <c r="E97" s="611"/>
      <c r="F97" s="612"/>
      <c r="G97" s="612"/>
      <c r="H97" s="612"/>
      <c r="I97" s="612"/>
      <c r="J97" s="612"/>
      <c r="K97" s="612"/>
      <c r="L97" s="612"/>
      <c r="M97" s="115"/>
    </row>
    <row r="98" spans="1:13" ht="15" customHeight="1" outlineLevel="1">
      <c r="A98" s="363"/>
      <c r="B98" s="365"/>
      <c r="C98" s="151" t="str">
        <f t="shared" si="4"/>
        <v/>
      </c>
      <c r="D98" s="115"/>
      <c r="E98" s="613"/>
      <c r="F98" s="614"/>
      <c r="G98" s="614"/>
      <c r="H98" s="614"/>
      <c r="I98" s="614"/>
      <c r="J98" s="614"/>
      <c r="K98" s="614"/>
      <c r="L98" s="614"/>
      <c r="M98" s="115"/>
    </row>
    <row r="99" spans="1:13" outlineLevel="1">
      <c r="A99" s="363"/>
      <c r="B99" s="365"/>
      <c r="C99" s="151" t="str">
        <f t="shared" si="4"/>
        <v/>
      </c>
      <c r="D99" s="115"/>
      <c r="E99" s="142"/>
      <c r="F99" s="142"/>
      <c r="G99" s="142"/>
      <c r="H99" s="142"/>
      <c r="I99" s="142"/>
      <c r="J99" s="142"/>
      <c r="K99" s="142"/>
      <c r="L99" s="142"/>
      <c r="M99" s="115"/>
    </row>
    <row r="100" spans="1:13" outlineLevel="1">
      <c r="A100" s="363"/>
      <c r="B100" s="365"/>
      <c r="C100" s="151" t="str">
        <f t="shared" si="4"/>
        <v/>
      </c>
      <c r="D100" s="115"/>
      <c r="E100" s="142"/>
      <c r="F100" s="142"/>
      <c r="G100" s="142"/>
      <c r="H100" s="142"/>
      <c r="I100" s="142"/>
      <c r="J100" s="142"/>
      <c r="K100" s="142"/>
      <c r="L100" s="142"/>
      <c r="M100" s="115"/>
    </row>
    <row r="101" spans="1:13" ht="15" outlineLevel="1" thickBot="1">
      <c r="A101" s="363"/>
      <c r="B101" s="365"/>
      <c r="C101" s="151" t="str">
        <f t="shared" si="4"/>
        <v>Sidérurgie (hauts fourneaux)</v>
      </c>
      <c r="D101" s="115"/>
      <c r="E101" s="627" t="s">
        <v>261</v>
      </c>
      <c r="F101" s="627"/>
      <c r="G101" s="627"/>
      <c r="H101" s="627"/>
      <c r="I101" s="627"/>
      <c r="J101" s="627"/>
      <c r="K101" s="627"/>
      <c r="L101" s="627"/>
      <c r="M101" s="115"/>
    </row>
    <row r="102" spans="1:13" outlineLevel="2">
      <c r="A102" s="363"/>
      <c r="B102" s="365"/>
      <c r="C102" s="151" t="str">
        <f t="shared" si="4"/>
        <v>%</v>
      </c>
      <c r="D102" s="115"/>
      <c r="E102" s="322" t="s">
        <v>121</v>
      </c>
      <c r="F102" s="323">
        <v>2021</v>
      </c>
      <c r="G102" s="323">
        <v>2025</v>
      </c>
      <c r="H102" s="323">
        <v>2030</v>
      </c>
      <c r="I102" s="323">
        <v>2035</v>
      </c>
      <c r="J102" s="323">
        <v>2040</v>
      </c>
      <c r="K102" s="323">
        <v>2045</v>
      </c>
      <c r="L102" s="324">
        <v>2050</v>
      </c>
      <c r="M102" s="115"/>
    </row>
    <row r="103" spans="1:13" outlineLevel="2">
      <c r="A103" s="363"/>
      <c r="B103" s="365"/>
      <c r="C103" s="151" t="str">
        <f t="shared" si="4"/>
        <v>Charbon</v>
      </c>
      <c r="D103" s="115"/>
      <c r="E103" s="218" t="s">
        <v>185</v>
      </c>
      <c r="F103" s="177">
        <v>0.40234552736504109</v>
      </c>
      <c r="G103" s="181"/>
      <c r="H103" s="181">
        <v>0.40100000000000002</v>
      </c>
      <c r="I103" s="181"/>
      <c r="J103" s="181"/>
      <c r="K103" s="181"/>
      <c r="L103" s="409">
        <v>0.40100000000000002</v>
      </c>
      <c r="M103" s="115"/>
    </row>
    <row r="104" spans="1:13" outlineLevel="2">
      <c r="A104" s="363"/>
      <c r="B104" s="365"/>
      <c r="C104" s="151" t="str">
        <f t="shared" si="4"/>
        <v>Coke</v>
      </c>
      <c r="D104" s="115"/>
      <c r="E104" s="218" t="s">
        <v>257</v>
      </c>
      <c r="F104" s="177">
        <v>0.59765447263495886</v>
      </c>
      <c r="G104" s="174"/>
      <c r="H104" s="174">
        <v>0.53900000000000003</v>
      </c>
      <c r="I104" s="174"/>
      <c r="J104" s="174"/>
      <c r="K104" s="174"/>
      <c r="L104" s="331">
        <v>0.53900000000000003</v>
      </c>
      <c r="M104" s="115"/>
    </row>
    <row r="105" spans="1:13" outlineLevel="2">
      <c r="A105" s="363"/>
      <c r="B105" s="365"/>
      <c r="C105" s="151" t="str">
        <f t="shared" si="4"/>
        <v>Produits pétroliers raffinés</v>
      </c>
      <c r="D105" s="115"/>
      <c r="E105" s="218" t="s">
        <v>187</v>
      </c>
      <c r="F105" s="177">
        <v>0</v>
      </c>
      <c r="G105" s="174"/>
      <c r="H105" s="174">
        <v>0</v>
      </c>
      <c r="I105" s="174"/>
      <c r="J105" s="174"/>
      <c r="K105" s="174"/>
      <c r="L105" s="331">
        <v>0</v>
      </c>
      <c r="M105" s="115"/>
    </row>
    <row r="106" spans="1:13" outlineLevel="2">
      <c r="A106" s="363"/>
      <c r="B106" s="365"/>
      <c r="C106" s="151" t="str">
        <f t="shared" si="4"/>
        <v>Gaz de réseau</v>
      </c>
      <c r="D106" s="115"/>
      <c r="E106" s="218" t="s">
        <v>258</v>
      </c>
      <c r="F106" s="177">
        <v>0</v>
      </c>
      <c r="G106" s="174"/>
      <c r="H106" s="174">
        <v>0</v>
      </c>
      <c r="I106" s="174"/>
      <c r="J106" s="174"/>
      <c r="K106" s="174"/>
      <c r="L106" s="331">
        <v>0</v>
      </c>
      <c r="M106" s="115"/>
    </row>
    <row r="107" spans="1:13" outlineLevel="2">
      <c r="A107" s="363"/>
      <c r="B107" s="365"/>
      <c r="C107" s="151" t="str">
        <f t="shared" si="4"/>
        <v>Biomasse solide</v>
      </c>
      <c r="D107" s="115"/>
      <c r="E107" s="218" t="s">
        <v>197</v>
      </c>
      <c r="F107" s="177">
        <v>0</v>
      </c>
      <c r="G107" s="174"/>
      <c r="H107" s="174">
        <v>0.03</v>
      </c>
      <c r="I107" s="174"/>
      <c r="J107" s="174"/>
      <c r="K107" s="174"/>
      <c r="L107" s="331">
        <v>0.03</v>
      </c>
      <c r="M107" s="115"/>
    </row>
    <row r="108" spans="1:13" outlineLevel="2">
      <c r="A108" s="363"/>
      <c r="B108" s="365"/>
      <c r="C108" s="151" t="str">
        <f t="shared" si="4"/>
        <v>Déchets</v>
      </c>
      <c r="D108" s="115"/>
      <c r="E108" s="218" t="s">
        <v>24</v>
      </c>
      <c r="F108" s="177">
        <v>0</v>
      </c>
      <c r="G108" s="174"/>
      <c r="H108" s="174">
        <v>0.03</v>
      </c>
      <c r="I108" s="174"/>
      <c r="J108" s="174"/>
      <c r="K108" s="174"/>
      <c r="L108" s="331">
        <v>0.03</v>
      </c>
      <c r="M108" s="115"/>
    </row>
    <row r="109" spans="1:13" outlineLevel="2">
      <c r="A109" s="363"/>
      <c r="B109" s="365"/>
      <c r="C109" s="151" t="str">
        <f t="shared" si="4"/>
        <v>Biocarburants et gaz renouvelable</v>
      </c>
      <c r="D109" s="115"/>
      <c r="E109" s="218" t="s">
        <v>259</v>
      </c>
      <c r="F109" s="177">
        <v>0</v>
      </c>
      <c r="G109" s="174"/>
      <c r="H109" s="174">
        <v>0</v>
      </c>
      <c r="I109" s="174"/>
      <c r="J109" s="174"/>
      <c r="K109" s="174"/>
      <c r="L109" s="331">
        <v>0</v>
      </c>
      <c r="M109" s="115"/>
    </row>
    <row r="110" spans="1:13" outlineLevel="2">
      <c r="A110" s="363"/>
      <c r="B110" s="365"/>
      <c r="C110" s="151" t="str">
        <f t="shared" si="4"/>
        <v>Chaleur de l'environnement</v>
      </c>
      <c r="D110" s="115"/>
      <c r="E110" s="218" t="s">
        <v>200</v>
      </c>
      <c r="F110" s="177">
        <v>0</v>
      </c>
      <c r="G110" s="174"/>
      <c r="H110" s="174">
        <v>0</v>
      </c>
      <c r="I110" s="174"/>
      <c r="J110" s="174"/>
      <c r="K110" s="174"/>
      <c r="L110" s="331">
        <v>0</v>
      </c>
      <c r="M110" s="115"/>
    </row>
    <row r="111" spans="1:13" outlineLevel="2">
      <c r="A111" s="363"/>
      <c r="B111" s="365"/>
      <c r="C111" s="151" t="str">
        <f t="shared" si="4"/>
        <v>Electricité</v>
      </c>
      <c r="D111" s="115"/>
      <c r="E111" s="218" t="s">
        <v>260</v>
      </c>
      <c r="F111" s="177">
        <v>0</v>
      </c>
      <c r="G111" s="174"/>
      <c r="H111" s="174">
        <v>0</v>
      </c>
      <c r="I111" s="174"/>
      <c r="J111" s="174"/>
      <c r="K111" s="174"/>
      <c r="L111" s="331">
        <v>0</v>
      </c>
      <c r="M111" s="115"/>
    </row>
    <row r="112" spans="1:13" outlineLevel="2">
      <c r="A112" s="363"/>
      <c r="B112" s="365"/>
      <c r="C112" s="151" t="str">
        <f t="shared" si="4"/>
        <v>Chaleur vendue</v>
      </c>
      <c r="D112" s="115"/>
      <c r="E112" s="218" t="s">
        <v>195</v>
      </c>
      <c r="F112" s="177">
        <v>0</v>
      </c>
      <c r="G112" s="174"/>
      <c r="H112" s="174">
        <v>0</v>
      </c>
      <c r="I112" s="174"/>
      <c r="J112" s="174"/>
      <c r="K112" s="174"/>
      <c r="L112" s="331">
        <v>0</v>
      </c>
      <c r="M112" s="115"/>
    </row>
    <row r="113" spans="1:13" ht="15" outlineLevel="2" thickBot="1">
      <c r="A113" s="363"/>
      <c r="B113" s="365"/>
      <c r="C113" s="151" t="str">
        <f t="shared" si="4"/>
        <v>Hydrogène</v>
      </c>
      <c r="D113" s="115"/>
      <c r="E113" s="222" t="s">
        <v>196</v>
      </c>
      <c r="F113" s="333">
        <v>0</v>
      </c>
      <c r="G113" s="334"/>
      <c r="H113" s="334">
        <v>0</v>
      </c>
      <c r="I113" s="334"/>
      <c r="J113" s="334"/>
      <c r="K113" s="334"/>
      <c r="L113" s="335">
        <v>0</v>
      </c>
      <c r="M113" s="115"/>
    </row>
    <row r="114" spans="1:13" outlineLevel="2">
      <c r="A114" s="363"/>
      <c r="B114" s="365"/>
      <c r="C114" s="151" t="str">
        <f t="shared" si="4"/>
        <v/>
      </c>
      <c r="D114" s="115"/>
      <c r="E114" s="610"/>
      <c r="F114" s="610"/>
      <c r="G114" s="610"/>
      <c r="H114" s="610"/>
      <c r="I114" s="610"/>
      <c r="J114" s="610"/>
      <c r="K114" s="610"/>
      <c r="L114" s="610"/>
      <c r="M114" s="115"/>
    </row>
    <row r="115" spans="1:13" outlineLevel="1">
      <c r="A115" s="363"/>
      <c r="B115" s="365"/>
      <c r="C115" s="151" t="str">
        <f t="shared" si="4"/>
        <v/>
      </c>
      <c r="D115" s="115"/>
      <c r="E115" s="142"/>
      <c r="F115" s="142"/>
      <c r="G115" s="142"/>
      <c r="H115" s="142"/>
      <c r="I115" s="142"/>
      <c r="J115" s="142"/>
      <c r="K115" s="142"/>
      <c r="L115" s="142"/>
      <c r="M115" s="115"/>
    </row>
    <row r="116" spans="1:13" ht="15" outlineLevel="1" thickBot="1">
      <c r="A116" s="363"/>
      <c r="B116" s="365"/>
      <c r="C116" s="151" t="str">
        <f t="shared" si="4"/>
        <v>Sidérurgie (arc électrique)</v>
      </c>
      <c r="D116" s="115"/>
      <c r="E116" s="627" t="s">
        <v>262</v>
      </c>
      <c r="F116" s="627"/>
      <c r="G116" s="627"/>
      <c r="H116" s="627"/>
      <c r="I116" s="627"/>
      <c r="J116" s="627"/>
      <c r="K116" s="627"/>
      <c r="L116" s="627"/>
      <c r="M116" s="115"/>
    </row>
    <row r="117" spans="1:13" outlineLevel="2">
      <c r="A117" s="363"/>
      <c r="B117" s="365"/>
      <c r="C117" s="151" t="str">
        <f t="shared" si="4"/>
        <v>%</v>
      </c>
      <c r="D117" s="115"/>
      <c r="E117" s="322" t="s">
        <v>121</v>
      </c>
      <c r="F117" s="323">
        <v>2021</v>
      </c>
      <c r="G117" s="323">
        <v>2025</v>
      </c>
      <c r="H117" s="323">
        <v>2030</v>
      </c>
      <c r="I117" s="323">
        <v>2035</v>
      </c>
      <c r="J117" s="323">
        <v>2040</v>
      </c>
      <c r="K117" s="323">
        <v>2045</v>
      </c>
      <c r="L117" s="324">
        <v>2050</v>
      </c>
      <c r="M117" s="115"/>
    </row>
    <row r="118" spans="1:13" outlineLevel="2">
      <c r="A118" s="363"/>
      <c r="B118" s="365"/>
      <c r="C118" s="151" t="str">
        <f t="shared" si="4"/>
        <v>Charbon</v>
      </c>
      <c r="D118" s="115"/>
      <c r="E118" s="218" t="s">
        <v>185</v>
      </c>
      <c r="F118" s="177">
        <v>3.5000000000000003E-2</v>
      </c>
      <c r="G118" s="181"/>
      <c r="H118" s="181">
        <v>3.5000000000000003E-2</v>
      </c>
      <c r="I118" s="181"/>
      <c r="J118" s="181"/>
      <c r="K118" s="181"/>
      <c r="L118" s="409">
        <v>0</v>
      </c>
      <c r="M118" s="115"/>
    </row>
    <row r="119" spans="1:13" outlineLevel="2">
      <c r="A119" s="363"/>
      <c r="B119" s="365"/>
      <c r="C119" s="151" t="str">
        <f t="shared" si="4"/>
        <v>Coke</v>
      </c>
      <c r="D119" s="115"/>
      <c r="E119" s="218" t="s">
        <v>257</v>
      </c>
      <c r="F119" s="177">
        <v>0</v>
      </c>
      <c r="G119" s="174"/>
      <c r="H119" s="174">
        <v>0</v>
      </c>
      <c r="I119" s="174"/>
      <c r="J119" s="174"/>
      <c r="K119" s="174"/>
      <c r="L119" s="331">
        <v>0</v>
      </c>
      <c r="M119" s="115"/>
    </row>
    <row r="120" spans="1:13" outlineLevel="2">
      <c r="A120" s="363"/>
      <c r="B120" s="365"/>
      <c r="C120" s="151" t="str">
        <f t="shared" si="4"/>
        <v>Produits pétroliers raffinés</v>
      </c>
      <c r="D120" s="115"/>
      <c r="E120" s="218" t="s">
        <v>187</v>
      </c>
      <c r="F120" s="177">
        <v>0.02</v>
      </c>
      <c r="G120" s="174"/>
      <c r="H120" s="174">
        <v>0.02</v>
      </c>
      <c r="I120" s="174"/>
      <c r="J120" s="174"/>
      <c r="K120" s="174"/>
      <c r="L120" s="331">
        <v>0.02</v>
      </c>
      <c r="M120" s="115"/>
    </row>
    <row r="121" spans="1:13" outlineLevel="2">
      <c r="A121" s="363"/>
      <c r="B121" s="365"/>
      <c r="C121" s="151" t="str">
        <f t="shared" si="4"/>
        <v>Gaz de réseau</v>
      </c>
      <c r="D121" s="115"/>
      <c r="E121" s="218" t="s">
        <v>258</v>
      </c>
      <c r="F121" s="177">
        <v>0.22</v>
      </c>
      <c r="G121" s="174"/>
      <c r="H121" s="174">
        <v>0.22</v>
      </c>
      <c r="I121" s="174"/>
      <c r="J121" s="174"/>
      <c r="K121" s="174"/>
      <c r="L121" s="331">
        <v>0.23</v>
      </c>
      <c r="M121" s="115"/>
    </row>
    <row r="122" spans="1:13" outlineLevel="2">
      <c r="A122" s="363"/>
      <c r="B122" s="365"/>
      <c r="C122" s="151" t="str">
        <f t="shared" ref="C122:C185" si="6">IF(ISBLANK(E122),IF(ISBLANK(F122),"",F122),E122)</f>
        <v>Biomasse solide</v>
      </c>
      <c r="D122" s="115"/>
      <c r="E122" s="218" t="s">
        <v>197</v>
      </c>
      <c r="F122" s="177">
        <v>0</v>
      </c>
      <c r="G122" s="174"/>
      <c r="H122" s="174">
        <v>0</v>
      </c>
      <c r="I122" s="174"/>
      <c r="J122" s="174"/>
      <c r="K122" s="174"/>
      <c r="L122" s="331">
        <v>0.02</v>
      </c>
      <c r="M122" s="115"/>
    </row>
    <row r="123" spans="1:13" outlineLevel="2">
      <c r="A123" s="363"/>
      <c r="B123" s="365"/>
      <c r="C123" s="151" t="str">
        <f t="shared" si="6"/>
        <v>Déchets</v>
      </c>
      <c r="D123" s="115"/>
      <c r="E123" s="218" t="s">
        <v>24</v>
      </c>
      <c r="F123" s="177">
        <v>0</v>
      </c>
      <c r="G123" s="174"/>
      <c r="H123" s="174">
        <v>0</v>
      </c>
      <c r="I123" s="174"/>
      <c r="J123" s="174"/>
      <c r="K123" s="174"/>
      <c r="L123" s="331">
        <v>0</v>
      </c>
      <c r="M123" s="115"/>
    </row>
    <row r="124" spans="1:13" outlineLevel="2">
      <c r="A124" s="363"/>
      <c r="B124" s="365"/>
      <c r="C124" s="151" t="str">
        <f t="shared" si="6"/>
        <v>Biocarburants et gaz renouvelable</v>
      </c>
      <c r="D124" s="115"/>
      <c r="E124" s="218" t="s">
        <v>259</v>
      </c>
      <c r="F124" s="177">
        <v>0</v>
      </c>
      <c r="G124" s="174"/>
      <c r="H124" s="174">
        <v>0</v>
      </c>
      <c r="I124" s="174"/>
      <c r="J124" s="174"/>
      <c r="K124" s="174"/>
      <c r="L124" s="331">
        <v>0</v>
      </c>
      <c r="M124" s="115"/>
    </row>
    <row r="125" spans="1:13" outlineLevel="2">
      <c r="A125" s="363"/>
      <c r="B125" s="365"/>
      <c r="C125" s="151" t="str">
        <f t="shared" si="6"/>
        <v>Chaleur de l'environnement</v>
      </c>
      <c r="D125" s="115"/>
      <c r="E125" s="218" t="s">
        <v>200</v>
      </c>
      <c r="F125" s="177">
        <v>0</v>
      </c>
      <c r="G125" s="174"/>
      <c r="H125" s="174">
        <v>0</v>
      </c>
      <c r="I125" s="174"/>
      <c r="J125" s="174"/>
      <c r="K125" s="174"/>
      <c r="L125" s="331">
        <v>0</v>
      </c>
      <c r="M125" s="115"/>
    </row>
    <row r="126" spans="1:13" outlineLevel="2">
      <c r="A126" s="363"/>
      <c r="B126" s="365"/>
      <c r="C126" s="151" t="str">
        <f t="shared" si="6"/>
        <v>Electricité</v>
      </c>
      <c r="D126" s="115"/>
      <c r="E126" s="218" t="s">
        <v>260</v>
      </c>
      <c r="F126" s="177">
        <v>0.72499999999999998</v>
      </c>
      <c r="G126" s="174"/>
      <c r="H126" s="174">
        <v>0.72499999999999998</v>
      </c>
      <c r="I126" s="174"/>
      <c r="J126" s="174"/>
      <c r="K126" s="174"/>
      <c r="L126" s="331">
        <v>0.73</v>
      </c>
      <c r="M126" s="115"/>
    </row>
    <row r="127" spans="1:13" outlineLevel="2">
      <c r="A127" s="363"/>
      <c r="B127" s="365"/>
      <c r="C127" s="151" t="str">
        <f t="shared" si="6"/>
        <v>Chaleur vendue</v>
      </c>
      <c r="D127" s="115"/>
      <c r="E127" s="218" t="s">
        <v>195</v>
      </c>
      <c r="F127" s="177">
        <v>0</v>
      </c>
      <c r="G127" s="174"/>
      <c r="H127" s="174">
        <v>0</v>
      </c>
      <c r="I127" s="174"/>
      <c r="J127" s="174"/>
      <c r="K127" s="174"/>
      <c r="L127" s="331">
        <v>0</v>
      </c>
      <c r="M127" s="115"/>
    </row>
    <row r="128" spans="1:13" ht="15" outlineLevel="2" thickBot="1">
      <c r="A128" s="363"/>
      <c r="B128" s="365"/>
      <c r="C128" s="151" t="str">
        <f t="shared" si="6"/>
        <v>Hydrogène</v>
      </c>
      <c r="D128" s="115"/>
      <c r="E128" s="222" t="s">
        <v>196</v>
      </c>
      <c r="F128" s="333">
        <v>0</v>
      </c>
      <c r="G128" s="334"/>
      <c r="H128" s="334">
        <v>0</v>
      </c>
      <c r="I128" s="334"/>
      <c r="J128" s="334"/>
      <c r="K128" s="334"/>
      <c r="L128" s="335">
        <v>0</v>
      </c>
      <c r="M128" s="115"/>
    </row>
    <row r="129" spans="1:13" outlineLevel="2">
      <c r="A129" s="363"/>
      <c r="B129" s="365"/>
      <c r="C129" s="151" t="str">
        <f t="shared" si="6"/>
        <v/>
      </c>
      <c r="D129" s="115"/>
      <c r="E129" s="610"/>
      <c r="F129" s="610"/>
      <c r="G129" s="610"/>
      <c r="H129" s="610"/>
      <c r="I129" s="610"/>
      <c r="J129" s="610"/>
      <c r="K129" s="610"/>
      <c r="L129" s="610"/>
      <c r="M129" s="115"/>
    </row>
    <row r="130" spans="1:13" outlineLevel="1">
      <c r="A130" s="363"/>
      <c r="B130" s="365"/>
      <c r="C130" s="151" t="str">
        <f t="shared" si="6"/>
        <v/>
      </c>
      <c r="D130" s="115"/>
      <c r="E130" s="142"/>
      <c r="F130" s="142"/>
      <c r="G130" s="142"/>
      <c r="H130" s="142"/>
      <c r="I130" s="142"/>
      <c r="J130" s="142"/>
      <c r="K130" s="142"/>
      <c r="L130" s="142"/>
      <c r="M130" s="115"/>
    </row>
    <row r="131" spans="1:13" ht="15" outlineLevel="1" thickBot="1">
      <c r="A131" s="363"/>
      <c r="B131" s="365"/>
      <c r="C131" s="151" t="str">
        <f t="shared" si="6"/>
        <v>Sidérurgie (réduction directe)</v>
      </c>
      <c r="D131" s="115"/>
      <c r="E131" s="627" t="s">
        <v>263</v>
      </c>
      <c r="F131" s="627"/>
      <c r="G131" s="627"/>
      <c r="H131" s="627"/>
      <c r="I131" s="627"/>
      <c r="J131" s="627"/>
      <c r="K131" s="627"/>
      <c r="L131" s="627"/>
      <c r="M131" s="115"/>
    </row>
    <row r="132" spans="1:13" outlineLevel="2">
      <c r="A132" s="363"/>
      <c r="B132" s="365"/>
      <c r="C132" s="151" t="str">
        <f t="shared" si="6"/>
        <v>%</v>
      </c>
      <c r="D132" s="115"/>
      <c r="E132" s="322" t="s">
        <v>121</v>
      </c>
      <c r="F132" s="323">
        <v>2021</v>
      </c>
      <c r="G132" s="323">
        <v>2025</v>
      </c>
      <c r="H132" s="323">
        <v>2030</v>
      </c>
      <c r="I132" s="323">
        <v>2035</v>
      </c>
      <c r="J132" s="323">
        <v>2040</v>
      </c>
      <c r="K132" s="323">
        <v>2045</v>
      </c>
      <c r="L132" s="324">
        <v>2050</v>
      </c>
      <c r="M132" s="115"/>
    </row>
    <row r="133" spans="1:13" outlineLevel="2">
      <c r="A133" s="363"/>
      <c r="B133" s="365"/>
      <c r="C133" s="151" t="str">
        <f t="shared" si="6"/>
        <v>Charbon</v>
      </c>
      <c r="D133" s="115"/>
      <c r="E133" s="218" t="s">
        <v>185</v>
      </c>
      <c r="F133" s="180">
        <v>0</v>
      </c>
      <c r="G133" s="181"/>
      <c r="H133" s="181">
        <v>0</v>
      </c>
      <c r="I133" s="181"/>
      <c r="J133" s="181"/>
      <c r="K133" s="181"/>
      <c r="L133" s="409">
        <v>0</v>
      </c>
      <c r="M133" s="115"/>
    </row>
    <row r="134" spans="1:13" outlineLevel="2">
      <c r="A134" s="363"/>
      <c r="B134" s="365"/>
      <c r="C134" s="151" t="str">
        <f t="shared" si="6"/>
        <v>Coke</v>
      </c>
      <c r="D134" s="115"/>
      <c r="E134" s="218" t="s">
        <v>257</v>
      </c>
      <c r="F134" s="177">
        <v>0</v>
      </c>
      <c r="G134" s="174"/>
      <c r="H134" s="174">
        <v>0</v>
      </c>
      <c r="I134" s="174"/>
      <c r="J134" s="174"/>
      <c r="K134" s="174"/>
      <c r="L134" s="331">
        <v>0</v>
      </c>
      <c r="M134" s="115"/>
    </row>
    <row r="135" spans="1:13" outlineLevel="2">
      <c r="A135" s="363"/>
      <c r="B135" s="365"/>
      <c r="C135" s="151" t="str">
        <f t="shared" si="6"/>
        <v>Produits pétroliers raffinés</v>
      </c>
      <c r="D135" s="115"/>
      <c r="E135" s="218" t="s">
        <v>187</v>
      </c>
      <c r="F135" s="177">
        <v>0</v>
      </c>
      <c r="G135" s="174"/>
      <c r="H135" s="174">
        <v>0</v>
      </c>
      <c r="I135" s="174"/>
      <c r="J135" s="174"/>
      <c r="K135" s="174"/>
      <c r="L135" s="331">
        <v>0</v>
      </c>
      <c r="M135" s="115"/>
    </row>
    <row r="136" spans="1:13" outlineLevel="2">
      <c r="A136" s="363"/>
      <c r="B136" s="365"/>
      <c r="C136" s="151" t="str">
        <f t="shared" si="6"/>
        <v>Gaz de réseau</v>
      </c>
      <c r="D136" s="115"/>
      <c r="E136" s="218" t="s">
        <v>258</v>
      </c>
      <c r="F136" s="177">
        <v>0.84799999999999998</v>
      </c>
      <c r="G136" s="174"/>
      <c r="H136" s="174">
        <v>0.54800000000000004</v>
      </c>
      <c r="I136" s="174"/>
      <c r="J136" s="174"/>
      <c r="K136" s="174"/>
      <c r="L136" s="331">
        <v>0.152</v>
      </c>
      <c r="M136" s="115"/>
    </row>
    <row r="137" spans="1:13" outlineLevel="2">
      <c r="A137" s="363"/>
      <c r="B137" s="365"/>
      <c r="C137" s="151" t="str">
        <f t="shared" si="6"/>
        <v>Biomasse solide</v>
      </c>
      <c r="D137" s="115"/>
      <c r="E137" s="218" t="s">
        <v>197</v>
      </c>
      <c r="F137" s="177">
        <v>0</v>
      </c>
      <c r="G137" s="174"/>
      <c r="H137" s="174">
        <v>0</v>
      </c>
      <c r="I137" s="174"/>
      <c r="J137" s="174"/>
      <c r="K137" s="174"/>
      <c r="L137" s="331">
        <v>0</v>
      </c>
      <c r="M137" s="115"/>
    </row>
    <row r="138" spans="1:13" outlineLevel="2">
      <c r="A138" s="363"/>
      <c r="B138" s="365"/>
      <c r="C138" s="151" t="str">
        <f t="shared" si="6"/>
        <v>Déchets</v>
      </c>
      <c r="D138" s="115"/>
      <c r="E138" s="218" t="s">
        <v>24</v>
      </c>
      <c r="F138" s="177">
        <v>0</v>
      </c>
      <c r="G138" s="174"/>
      <c r="H138" s="174">
        <v>0</v>
      </c>
      <c r="I138" s="174"/>
      <c r="J138" s="174"/>
      <c r="K138" s="174"/>
      <c r="L138" s="331">
        <v>0</v>
      </c>
      <c r="M138" s="115"/>
    </row>
    <row r="139" spans="1:13" outlineLevel="2">
      <c r="A139" s="363"/>
      <c r="B139" s="365"/>
      <c r="C139" s="151" t="str">
        <f t="shared" si="6"/>
        <v>Biocarburants et gaz renouvelable</v>
      </c>
      <c r="D139" s="115"/>
      <c r="E139" s="218" t="s">
        <v>259</v>
      </c>
      <c r="F139" s="177">
        <v>0</v>
      </c>
      <c r="G139" s="174"/>
      <c r="H139" s="174">
        <v>0</v>
      </c>
      <c r="I139" s="174"/>
      <c r="J139" s="174"/>
      <c r="K139" s="174"/>
      <c r="L139" s="331">
        <v>0</v>
      </c>
      <c r="M139" s="115"/>
    </row>
    <row r="140" spans="1:13" outlineLevel="2">
      <c r="A140" s="363"/>
      <c r="B140" s="365"/>
      <c r="C140" s="151" t="str">
        <f t="shared" si="6"/>
        <v>Chaleur de l'environnement</v>
      </c>
      <c r="D140" s="115"/>
      <c r="E140" s="218" t="s">
        <v>200</v>
      </c>
      <c r="F140" s="177">
        <v>0</v>
      </c>
      <c r="G140" s="174"/>
      <c r="H140" s="174">
        <v>0</v>
      </c>
      <c r="I140" s="174"/>
      <c r="J140" s="174"/>
      <c r="K140" s="174"/>
      <c r="L140" s="331">
        <v>0</v>
      </c>
      <c r="M140" s="115"/>
    </row>
    <row r="141" spans="1:13" outlineLevel="2">
      <c r="A141" s="363"/>
      <c r="B141" s="365"/>
      <c r="C141" s="151" t="str">
        <f t="shared" si="6"/>
        <v>Electricité</v>
      </c>
      <c r="D141" s="115"/>
      <c r="E141" s="218" t="s">
        <v>260</v>
      </c>
      <c r="F141" s="177">
        <v>0.152</v>
      </c>
      <c r="G141" s="174"/>
      <c r="H141" s="174">
        <v>0.152</v>
      </c>
      <c r="I141" s="174"/>
      <c r="J141" s="174"/>
      <c r="K141" s="174"/>
      <c r="L141" s="331">
        <v>0.13800000000000001</v>
      </c>
      <c r="M141" s="115"/>
    </row>
    <row r="142" spans="1:13" outlineLevel="2">
      <c r="A142" s="363"/>
      <c r="B142" s="365"/>
      <c r="C142" s="151" t="str">
        <f t="shared" si="6"/>
        <v>Chaleur vendue</v>
      </c>
      <c r="D142" s="115"/>
      <c r="E142" s="218" t="s">
        <v>195</v>
      </c>
      <c r="F142" s="177">
        <v>0</v>
      </c>
      <c r="G142" s="174"/>
      <c r="H142" s="174">
        <v>0</v>
      </c>
      <c r="I142" s="174"/>
      <c r="J142" s="174"/>
      <c r="K142" s="174"/>
      <c r="L142" s="331">
        <v>0</v>
      </c>
      <c r="M142" s="115"/>
    </row>
    <row r="143" spans="1:13" ht="15" outlineLevel="2" thickBot="1">
      <c r="A143" s="363"/>
      <c r="B143" s="365"/>
      <c r="C143" s="151" t="str">
        <f t="shared" si="6"/>
        <v>Hydrogène</v>
      </c>
      <c r="D143" s="115"/>
      <c r="E143" s="222" t="s">
        <v>196</v>
      </c>
      <c r="F143" s="333">
        <v>0</v>
      </c>
      <c r="G143" s="334"/>
      <c r="H143" s="334">
        <v>0.3</v>
      </c>
      <c r="I143" s="334"/>
      <c r="J143" s="334"/>
      <c r="K143" s="334"/>
      <c r="L143" s="335">
        <v>0.71</v>
      </c>
      <c r="M143" s="115"/>
    </row>
    <row r="144" spans="1:13" outlineLevel="2">
      <c r="A144" s="363"/>
      <c r="B144" s="365"/>
      <c r="C144" s="151" t="str">
        <f t="shared" si="6"/>
        <v/>
      </c>
      <c r="D144" s="115"/>
      <c r="E144" s="610"/>
      <c r="F144" s="610"/>
      <c r="G144" s="610"/>
      <c r="H144" s="610"/>
      <c r="I144" s="610"/>
      <c r="J144" s="610"/>
      <c r="K144" s="610"/>
      <c r="L144" s="610"/>
      <c r="M144" s="115"/>
    </row>
    <row r="145" spans="1:13" outlineLevel="1">
      <c r="A145" s="363"/>
      <c r="B145" s="365"/>
      <c r="C145" s="151" t="str">
        <f t="shared" si="6"/>
        <v/>
      </c>
      <c r="D145" s="115"/>
      <c r="E145" s="142"/>
      <c r="F145" s="142"/>
      <c r="G145" s="142"/>
      <c r="H145" s="142"/>
      <c r="I145" s="142"/>
      <c r="J145" s="142"/>
      <c r="K145" s="142"/>
      <c r="L145" s="142"/>
      <c r="M145" s="115"/>
    </row>
    <row r="146" spans="1:13" ht="15" outlineLevel="1" thickBot="1">
      <c r="A146" s="363"/>
      <c r="B146" s="365"/>
      <c r="C146" s="151" t="str">
        <f t="shared" si="6"/>
        <v>Sidérurgie (mise en forme de l'acier)</v>
      </c>
      <c r="D146" s="115"/>
      <c r="E146" s="627" t="s">
        <v>264</v>
      </c>
      <c r="F146" s="627"/>
      <c r="G146" s="627"/>
      <c r="H146" s="627"/>
      <c r="I146" s="627"/>
      <c r="J146" s="627"/>
      <c r="K146" s="627"/>
      <c r="L146" s="627"/>
      <c r="M146" s="115"/>
    </row>
    <row r="147" spans="1:13" outlineLevel="2">
      <c r="A147" s="363"/>
      <c r="B147" s="365"/>
      <c r="C147" s="151" t="str">
        <f t="shared" si="6"/>
        <v>%</v>
      </c>
      <c r="D147" s="115"/>
      <c r="E147" s="322" t="s">
        <v>121</v>
      </c>
      <c r="F147" s="323">
        <v>2021</v>
      </c>
      <c r="G147" s="323">
        <v>2025</v>
      </c>
      <c r="H147" s="323">
        <v>2030</v>
      </c>
      <c r="I147" s="323">
        <v>2035</v>
      </c>
      <c r="J147" s="323">
        <v>2040</v>
      </c>
      <c r="K147" s="323">
        <v>2045</v>
      </c>
      <c r="L147" s="324">
        <v>2050</v>
      </c>
      <c r="M147" s="115"/>
    </row>
    <row r="148" spans="1:13" outlineLevel="2">
      <c r="A148" s="363"/>
      <c r="B148" s="365"/>
      <c r="C148" s="151" t="str">
        <f t="shared" si="6"/>
        <v>Charbon</v>
      </c>
      <c r="D148" s="115"/>
      <c r="E148" s="218" t="s">
        <v>185</v>
      </c>
      <c r="F148" s="180">
        <v>5.0999999999999997E-2</v>
      </c>
      <c r="G148" s="181"/>
      <c r="H148" s="181">
        <v>0.04</v>
      </c>
      <c r="I148" s="181"/>
      <c r="J148" s="181"/>
      <c r="K148" s="181"/>
      <c r="L148" s="409">
        <v>0.04</v>
      </c>
      <c r="M148" s="115"/>
    </row>
    <row r="149" spans="1:13" outlineLevel="2">
      <c r="A149" s="363"/>
      <c r="B149" s="365"/>
      <c r="C149" s="151" t="str">
        <f t="shared" si="6"/>
        <v>Coke</v>
      </c>
      <c r="D149" s="115"/>
      <c r="E149" s="218" t="s">
        <v>257</v>
      </c>
      <c r="F149" s="177">
        <v>2.9000000000000001E-2</v>
      </c>
      <c r="G149" s="174"/>
      <c r="H149" s="174">
        <v>2.9000000000000001E-2</v>
      </c>
      <c r="I149" s="174"/>
      <c r="J149" s="174"/>
      <c r="K149" s="174"/>
      <c r="L149" s="331">
        <v>2.9000000000000001E-2</v>
      </c>
      <c r="M149" s="115"/>
    </row>
    <row r="150" spans="1:13" outlineLevel="2">
      <c r="A150" s="363"/>
      <c r="B150" s="365"/>
      <c r="C150" s="151" t="str">
        <f t="shared" si="6"/>
        <v>Produits pétroliers raffinés</v>
      </c>
      <c r="D150" s="115"/>
      <c r="E150" s="218" t="s">
        <v>187</v>
      </c>
      <c r="F150" s="177">
        <v>8.0000000000000002E-3</v>
      </c>
      <c r="G150" s="174"/>
      <c r="H150" s="174">
        <v>8.0000000000000002E-3</v>
      </c>
      <c r="I150" s="174"/>
      <c r="J150" s="174"/>
      <c r="K150" s="174"/>
      <c r="L150" s="331">
        <v>8.0000000000000002E-3</v>
      </c>
      <c r="M150" s="115"/>
    </row>
    <row r="151" spans="1:13" outlineLevel="2">
      <c r="A151" s="363"/>
      <c r="B151" s="365"/>
      <c r="C151" s="151" t="str">
        <f t="shared" si="6"/>
        <v>Gaz de réseau</v>
      </c>
      <c r="D151" s="115"/>
      <c r="E151" s="218" t="s">
        <v>258</v>
      </c>
      <c r="F151" s="177">
        <v>0.438</v>
      </c>
      <c r="G151" s="174"/>
      <c r="H151" s="174">
        <v>0.41899999999999998</v>
      </c>
      <c r="I151" s="174"/>
      <c r="J151" s="174"/>
      <c r="K151" s="174"/>
      <c r="L151" s="331">
        <v>0.41899999999999998</v>
      </c>
      <c r="M151" s="115"/>
    </row>
    <row r="152" spans="1:13" outlineLevel="2">
      <c r="A152" s="363"/>
      <c r="B152" s="365"/>
      <c r="C152" s="151" t="str">
        <f t="shared" si="6"/>
        <v>Biomasse solide</v>
      </c>
      <c r="D152" s="115"/>
      <c r="E152" s="218" t="s">
        <v>197</v>
      </c>
      <c r="F152" s="177">
        <v>0</v>
      </c>
      <c r="G152" s="174"/>
      <c r="H152" s="174">
        <v>0.03</v>
      </c>
      <c r="I152" s="174"/>
      <c r="J152" s="174"/>
      <c r="K152" s="174"/>
      <c r="L152" s="331">
        <v>0.03</v>
      </c>
      <c r="M152" s="115"/>
    </row>
    <row r="153" spans="1:13" outlineLevel="2">
      <c r="A153" s="363"/>
      <c r="B153" s="365"/>
      <c r="C153" s="151" t="str">
        <f t="shared" si="6"/>
        <v>Déchets</v>
      </c>
      <c r="D153" s="115"/>
      <c r="E153" s="218" t="s">
        <v>24</v>
      </c>
      <c r="F153" s="177">
        <v>0</v>
      </c>
      <c r="G153" s="174"/>
      <c r="H153" s="174">
        <v>0</v>
      </c>
      <c r="I153" s="174"/>
      <c r="J153" s="174"/>
      <c r="K153" s="174"/>
      <c r="L153" s="331">
        <v>0</v>
      </c>
      <c r="M153" s="115"/>
    </row>
    <row r="154" spans="1:13" outlineLevel="2">
      <c r="A154" s="363"/>
      <c r="B154" s="365"/>
      <c r="C154" s="151" t="str">
        <f t="shared" si="6"/>
        <v>Biocarburants et gaz renouvelable</v>
      </c>
      <c r="D154" s="115"/>
      <c r="E154" s="218" t="s">
        <v>259</v>
      </c>
      <c r="F154" s="177">
        <v>0</v>
      </c>
      <c r="G154" s="174"/>
      <c r="H154" s="174">
        <v>0</v>
      </c>
      <c r="I154" s="174"/>
      <c r="J154" s="174"/>
      <c r="K154" s="174"/>
      <c r="L154" s="331">
        <v>0</v>
      </c>
      <c r="M154" s="115"/>
    </row>
    <row r="155" spans="1:13" outlineLevel="2">
      <c r="A155" s="363"/>
      <c r="B155" s="365"/>
      <c r="C155" s="151" t="str">
        <f t="shared" si="6"/>
        <v>Chaleur de l'environnement</v>
      </c>
      <c r="D155" s="115"/>
      <c r="E155" s="218" t="s">
        <v>200</v>
      </c>
      <c r="F155" s="177">
        <v>0</v>
      </c>
      <c r="G155" s="174"/>
      <c r="H155" s="174">
        <v>0</v>
      </c>
      <c r="I155" s="174"/>
      <c r="J155" s="174"/>
      <c r="K155" s="174"/>
      <c r="L155" s="331">
        <v>0</v>
      </c>
      <c r="M155" s="115"/>
    </row>
    <row r="156" spans="1:13" outlineLevel="2">
      <c r="A156" s="363"/>
      <c r="B156" s="365"/>
      <c r="C156" s="151" t="str">
        <f t="shared" si="6"/>
        <v>Electricité</v>
      </c>
      <c r="D156" s="115"/>
      <c r="E156" s="218" t="s">
        <v>260</v>
      </c>
      <c r="F156" s="177">
        <v>0.46700000000000003</v>
      </c>
      <c r="G156" s="174"/>
      <c r="H156" s="174">
        <v>0.46700000000000003</v>
      </c>
      <c r="I156" s="174"/>
      <c r="J156" s="174"/>
      <c r="K156" s="174"/>
      <c r="L156" s="331">
        <v>0.46700000000000003</v>
      </c>
      <c r="M156" s="115"/>
    </row>
    <row r="157" spans="1:13" outlineLevel="2">
      <c r="A157" s="363"/>
      <c r="B157" s="365"/>
      <c r="C157" s="151" t="str">
        <f t="shared" si="6"/>
        <v>Chaleur vendue</v>
      </c>
      <c r="D157" s="115"/>
      <c r="E157" s="218" t="s">
        <v>195</v>
      </c>
      <c r="F157" s="177">
        <v>7.0000000000000001E-3</v>
      </c>
      <c r="G157" s="174"/>
      <c r="H157" s="174">
        <v>7.0000000000000001E-3</v>
      </c>
      <c r="I157" s="174"/>
      <c r="J157" s="174"/>
      <c r="K157" s="174"/>
      <c r="L157" s="331">
        <v>7.0000000000000001E-3</v>
      </c>
      <c r="M157" s="115"/>
    </row>
    <row r="158" spans="1:13" ht="15" outlineLevel="2" thickBot="1">
      <c r="A158" s="363"/>
      <c r="B158" s="365"/>
      <c r="C158" s="151" t="str">
        <f t="shared" si="6"/>
        <v>Hydrogène</v>
      </c>
      <c r="D158" s="115"/>
      <c r="E158" s="222" t="s">
        <v>196</v>
      </c>
      <c r="F158" s="333">
        <v>0</v>
      </c>
      <c r="G158" s="334"/>
      <c r="H158" s="334">
        <v>0</v>
      </c>
      <c r="I158" s="334"/>
      <c r="J158" s="334"/>
      <c r="K158" s="334"/>
      <c r="L158" s="335">
        <v>0</v>
      </c>
      <c r="M158" s="115"/>
    </row>
    <row r="159" spans="1:13" outlineLevel="2">
      <c r="A159" s="363"/>
      <c r="B159" s="365"/>
      <c r="C159" s="151" t="str">
        <f t="shared" si="6"/>
        <v/>
      </c>
      <c r="D159" s="115"/>
      <c r="E159" s="610"/>
      <c r="F159" s="610"/>
      <c r="G159" s="610"/>
      <c r="H159" s="610"/>
      <c r="I159" s="610"/>
      <c r="J159" s="610"/>
      <c r="K159" s="610"/>
      <c r="L159" s="610"/>
      <c r="M159" s="115"/>
    </row>
    <row r="160" spans="1:13" outlineLevel="1">
      <c r="A160" s="363"/>
      <c r="B160" s="365"/>
      <c r="C160" s="151" t="str">
        <f t="shared" si="6"/>
        <v/>
      </c>
      <c r="D160" s="115"/>
      <c r="E160" s="142"/>
      <c r="F160" s="142"/>
      <c r="G160" s="142"/>
      <c r="H160" s="142"/>
      <c r="I160" s="142"/>
      <c r="J160" s="142"/>
      <c r="K160" s="142"/>
      <c r="L160" s="142"/>
      <c r="M160" s="115"/>
    </row>
    <row r="161" spans="1:13" ht="15" outlineLevel="1" thickBot="1">
      <c r="A161" s="363"/>
      <c r="B161" s="365"/>
      <c r="C161" s="151" t="str">
        <f t="shared" si="6"/>
        <v>Aluminium primaire</v>
      </c>
      <c r="D161" s="115"/>
      <c r="E161" s="627" t="s">
        <v>265</v>
      </c>
      <c r="F161" s="627"/>
      <c r="G161" s="627"/>
      <c r="H161" s="627"/>
      <c r="I161" s="627"/>
      <c r="J161" s="627"/>
      <c r="K161" s="627"/>
      <c r="L161" s="627"/>
      <c r="M161" s="115"/>
    </row>
    <row r="162" spans="1:13" outlineLevel="2">
      <c r="A162" s="363"/>
      <c r="B162" s="365"/>
      <c r="C162" s="151" t="str">
        <f t="shared" si="6"/>
        <v>%</v>
      </c>
      <c r="D162" s="115"/>
      <c r="E162" s="322" t="s">
        <v>121</v>
      </c>
      <c r="F162" s="323">
        <v>2021</v>
      </c>
      <c r="G162" s="323">
        <v>2025</v>
      </c>
      <c r="H162" s="323">
        <v>2030</v>
      </c>
      <c r="I162" s="323">
        <v>2035</v>
      </c>
      <c r="J162" s="323">
        <v>2040</v>
      </c>
      <c r="K162" s="323">
        <v>2045</v>
      </c>
      <c r="L162" s="324">
        <v>2050</v>
      </c>
      <c r="M162" s="115"/>
    </row>
    <row r="163" spans="1:13" outlineLevel="2">
      <c r="A163" s="363"/>
      <c r="B163" s="365"/>
      <c r="C163" s="151" t="str">
        <f t="shared" si="6"/>
        <v>Charbon</v>
      </c>
      <c r="D163" s="115"/>
      <c r="E163" s="218" t="s">
        <v>185</v>
      </c>
      <c r="F163" s="180">
        <v>0</v>
      </c>
      <c r="G163" s="181"/>
      <c r="H163" s="181">
        <v>0</v>
      </c>
      <c r="I163" s="181"/>
      <c r="J163" s="181"/>
      <c r="K163" s="181"/>
      <c r="L163" s="409">
        <v>0</v>
      </c>
      <c r="M163" s="115"/>
    </row>
    <row r="164" spans="1:13" outlineLevel="2">
      <c r="A164" s="363"/>
      <c r="B164" s="365"/>
      <c r="C164" s="151" t="str">
        <f t="shared" si="6"/>
        <v>Coke</v>
      </c>
      <c r="D164" s="115"/>
      <c r="E164" s="218" t="s">
        <v>257</v>
      </c>
      <c r="F164" s="177">
        <v>0</v>
      </c>
      <c r="G164" s="174"/>
      <c r="H164" s="174">
        <v>0</v>
      </c>
      <c r="I164" s="174"/>
      <c r="J164" s="174"/>
      <c r="K164" s="174"/>
      <c r="L164" s="331">
        <v>0</v>
      </c>
      <c r="M164" s="115"/>
    </row>
    <row r="165" spans="1:13" outlineLevel="2">
      <c r="A165" s="363"/>
      <c r="B165" s="365"/>
      <c r="C165" s="151" t="str">
        <f t="shared" si="6"/>
        <v>Produits pétroliers raffinés</v>
      </c>
      <c r="D165" s="115"/>
      <c r="E165" s="218" t="s">
        <v>187</v>
      </c>
      <c r="F165" s="177">
        <v>2.8000000000000001E-2</v>
      </c>
      <c r="G165" s="174"/>
      <c r="H165" s="174">
        <v>1.2E-2</v>
      </c>
      <c r="I165" s="174"/>
      <c r="J165" s="174"/>
      <c r="K165" s="174"/>
      <c r="L165" s="331">
        <v>1.2E-2</v>
      </c>
      <c r="M165" s="115"/>
    </row>
    <row r="166" spans="1:13" outlineLevel="2">
      <c r="A166" s="363"/>
      <c r="B166" s="365"/>
      <c r="C166" s="151" t="str">
        <f t="shared" si="6"/>
        <v>Gaz de réseau</v>
      </c>
      <c r="D166" s="115"/>
      <c r="E166" s="218" t="s">
        <v>258</v>
      </c>
      <c r="F166" s="177">
        <v>0.251</v>
      </c>
      <c r="G166" s="174"/>
      <c r="H166" s="174">
        <v>0.25</v>
      </c>
      <c r="I166" s="174"/>
      <c r="J166" s="174"/>
      <c r="K166" s="174"/>
      <c r="L166" s="331">
        <v>0.25</v>
      </c>
      <c r="M166" s="115"/>
    </row>
    <row r="167" spans="1:13" outlineLevel="2">
      <c r="A167" s="363"/>
      <c r="B167" s="365"/>
      <c r="C167" s="151" t="str">
        <f t="shared" si="6"/>
        <v>Biomasse solide</v>
      </c>
      <c r="D167" s="115"/>
      <c r="E167" s="218" t="s">
        <v>197</v>
      </c>
      <c r="F167" s="177">
        <v>0</v>
      </c>
      <c r="G167" s="174"/>
      <c r="H167" s="174">
        <v>0</v>
      </c>
      <c r="I167" s="174"/>
      <c r="J167" s="174"/>
      <c r="K167" s="174"/>
      <c r="L167" s="331">
        <v>0</v>
      </c>
      <c r="M167" s="115"/>
    </row>
    <row r="168" spans="1:13" outlineLevel="2">
      <c r="A168" s="363"/>
      <c r="B168" s="365"/>
      <c r="C168" s="151" t="str">
        <f t="shared" si="6"/>
        <v>Déchets</v>
      </c>
      <c r="D168" s="115"/>
      <c r="E168" s="218" t="s">
        <v>24</v>
      </c>
      <c r="F168" s="177">
        <v>0</v>
      </c>
      <c r="G168" s="174"/>
      <c r="H168" s="174">
        <v>0</v>
      </c>
      <c r="I168" s="174"/>
      <c r="J168" s="174"/>
      <c r="K168" s="174"/>
      <c r="L168" s="331">
        <v>0</v>
      </c>
      <c r="M168" s="115"/>
    </row>
    <row r="169" spans="1:13" outlineLevel="2">
      <c r="A169" s="363"/>
      <c r="B169" s="365"/>
      <c r="C169" s="151" t="str">
        <f t="shared" si="6"/>
        <v>Biocarburants et gaz renouvelable</v>
      </c>
      <c r="D169" s="115"/>
      <c r="E169" s="218" t="s">
        <v>259</v>
      </c>
      <c r="F169" s="177">
        <v>0</v>
      </c>
      <c r="G169" s="174"/>
      <c r="H169" s="174">
        <v>0</v>
      </c>
      <c r="I169" s="174"/>
      <c r="J169" s="174"/>
      <c r="K169" s="174"/>
      <c r="L169" s="331">
        <v>0</v>
      </c>
      <c r="M169" s="115"/>
    </row>
    <row r="170" spans="1:13" outlineLevel="2">
      <c r="A170" s="363"/>
      <c r="B170" s="365"/>
      <c r="C170" s="151" t="str">
        <f t="shared" si="6"/>
        <v>Chaleur de l'environnement</v>
      </c>
      <c r="D170" s="115"/>
      <c r="E170" s="218" t="s">
        <v>200</v>
      </c>
      <c r="F170" s="177">
        <v>0</v>
      </c>
      <c r="G170" s="174"/>
      <c r="H170" s="174">
        <v>0</v>
      </c>
      <c r="I170" s="174"/>
      <c r="J170" s="174"/>
      <c r="K170" s="174"/>
      <c r="L170" s="331">
        <v>0</v>
      </c>
      <c r="M170" s="115"/>
    </row>
    <row r="171" spans="1:13" outlineLevel="2">
      <c r="A171" s="363"/>
      <c r="B171" s="365"/>
      <c r="C171" s="151" t="str">
        <f t="shared" si="6"/>
        <v>Electricité</v>
      </c>
      <c r="D171" s="115"/>
      <c r="E171" s="218" t="s">
        <v>260</v>
      </c>
      <c r="F171" s="177">
        <v>0.71299999999999997</v>
      </c>
      <c r="G171" s="174"/>
      <c r="H171" s="174">
        <v>0.73</v>
      </c>
      <c r="I171" s="174"/>
      <c r="J171" s="174"/>
      <c r="K171" s="174"/>
      <c r="L171" s="331">
        <v>0.73</v>
      </c>
      <c r="M171" s="115"/>
    </row>
    <row r="172" spans="1:13" outlineLevel="2">
      <c r="A172" s="363"/>
      <c r="B172" s="365"/>
      <c r="C172" s="151" t="str">
        <f t="shared" si="6"/>
        <v>Chaleur vendue</v>
      </c>
      <c r="D172" s="115"/>
      <c r="E172" s="218" t="s">
        <v>195</v>
      </c>
      <c r="F172" s="177">
        <v>8.0000000000000002E-3</v>
      </c>
      <c r="G172" s="174"/>
      <c r="H172" s="174">
        <v>8.0000000000000002E-3</v>
      </c>
      <c r="I172" s="174"/>
      <c r="J172" s="174"/>
      <c r="K172" s="174"/>
      <c r="L172" s="331">
        <v>8.0000000000000002E-3</v>
      </c>
      <c r="M172" s="115"/>
    </row>
    <row r="173" spans="1:13" ht="15" outlineLevel="2" thickBot="1">
      <c r="A173" s="363"/>
      <c r="B173" s="365"/>
      <c r="C173" s="151" t="str">
        <f t="shared" si="6"/>
        <v>Hydrogène</v>
      </c>
      <c r="D173" s="115"/>
      <c r="E173" s="222" t="s">
        <v>196</v>
      </c>
      <c r="F173" s="333">
        <v>0</v>
      </c>
      <c r="G173" s="334"/>
      <c r="H173" s="334">
        <v>0</v>
      </c>
      <c r="I173" s="334"/>
      <c r="J173" s="334"/>
      <c r="K173" s="334"/>
      <c r="L173" s="335">
        <v>0</v>
      </c>
      <c r="M173" s="115"/>
    </row>
    <row r="174" spans="1:13" outlineLevel="2">
      <c r="A174" s="363"/>
      <c r="B174" s="365"/>
      <c r="C174" s="151" t="str">
        <f t="shared" si="6"/>
        <v/>
      </c>
      <c r="D174" s="115"/>
      <c r="E174" s="610"/>
      <c r="F174" s="610"/>
      <c r="G174" s="610"/>
      <c r="H174" s="610"/>
      <c r="I174" s="610"/>
      <c r="J174" s="610"/>
      <c r="K174" s="610"/>
      <c r="L174" s="610"/>
      <c r="M174" s="115"/>
    </row>
    <row r="175" spans="1:13" outlineLevel="1">
      <c r="A175" s="363"/>
      <c r="B175" s="365"/>
      <c r="C175" s="151" t="str">
        <f t="shared" si="6"/>
        <v/>
      </c>
      <c r="D175" s="115"/>
      <c r="E175" s="142"/>
      <c r="F175" s="142"/>
      <c r="G175" s="142"/>
      <c r="H175" s="142"/>
      <c r="I175" s="142"/>
      <c r="J175" s="142"/>
      <c r="K175" s="142"/>
      <c r="L175" s="142"/>
      <c r="M175" s="115"/>
    </row>
    <row r="176" spans="1:13" ht="15" outlineLevel="1" thickBot="1">
      <c r="A176" s="363"/>
      <c r="B176" s="365"/>
      <c r="C176" s="151" t="str">
        <f t="shared" si="6"/>
        <v>Aluminium recyclé</v>
      </c>
      <c r="D176" s="115"/>
      <c r="E176" s="627" t="s">
        <v>266</v>
      </c>
      <c r="F176" s="627"/>
      <c r="G176" s="627"/>
      <c r="H176" s="627"/>
      <c r="I176" s="627"/>
      <c r="J176" s="627"/>
      <c r="K176" s="627"/>
      <c r="L176" s="627"/>
      <c r="M176" s="115"/>
    </row>
    <row r="177" spans="1:13" outlineLevel="2">
      <c r="A177" s="363"/>
      <c r="B177" s="365"/>
      <c r="C177" s="151" t="str">
        <f t="shared" si="6"/>
        <v>%</v>
      </c>
      <c r="D177" s="115"/>
      <c r="E177" s="322" t="s">
        <v>121</v>
      </c>
      <c r="F177" s="323">
        <v>2021</v>
      </c>
      <c r="G177" s="323">
        <v>2025</v>
      </c>
      <c r="H177" s="323">
        <v>2030</v>
      </c>
      <c r="I177" s="323">
        <v>2035</v>
      </c>
      <c r="J177" s="323">
        <v>2040</v>
      </c>
      <c r="K177" s="323">
        <v>2045</v>
      </c>
      <c r="L177" s="324">
        <v>2050</v>
      </c>
      <c r="M177" s="115"/>
    </row>
    <row r="178" spans="1:13" outlineLevel="2">
      <c r="A178" s="363"/>
      <c r="B178" s="365"/>
      <c r="C178" s="151" t="str">
        <f t="shared" si="6"/>
        <v>Charbon</v>
      </c>
      <c r="D178" s="115"/>
      <c r="E178" s="218" t="s">
        <v>185</v>
      </c>
      <c r="F178" s="180">
        <v>0</v>
      </c>
      <c r="G178" s="181"/>
      <c r="H178" s="181">
        <v>0</v>
      </c>
      <c r="I178" s="181"/>
      <c r="J178" s="181"/>
      <c r="K178" s="181"/>
      <c r="L178" s="409">
        <v>0</v>
      </c>
      <c r="M178" s="115"/>
    </row>
    <row r="179" spans="1:13" outlineLevel="2">
      <c r="A179" s="363"/>
      <c r="B179" s="365"/>
      <c r="C179" s="151" t="str">
        <f t="shared" si="6"/>
        <v>Coke</v>
      </c>
      <c r="D179" s="115"/>
      <c r="E179" s="218" t="s">
        <v>257</v>
      </c>
      <c r="F179" s="177">
        <v>0</v>
      </c>
      <c r="G179" s="174"/>
      <c r="H179" s="174">
        <v>0</v>
      </c>
      <c r="I179" s="174"/>
      <c r="J179" s="174"/>
      <c r="K179" s="174"/>
      <c r="L179" s="331">
        <v>0</v>
      </c>
      <c r="M179" s="115"/>
    </row>
    <row r="180" spans="1:13" outlineLevel="2">
      <c r="A180" s="363"/>
      <c r="B180" s="365"/>
      <c r="C180" s="151" t="str">
        <f t="shared" si="6"/>
        <v>Produits pétroliers raffinés</v>
      </c>
      <c r="D180" s="115"/>
      <c r="E180" s="218" t="s">
        <v>187</v>
      </c>
      <c r="F180" s="177">
        <v>2.5000000000000001E-2</v>
      </c>
      <c r="G180" s="174"/>
      <c r="H180" s="174">
        <v>2.5000000000000001E-2</v>
      </c>
      <c r="I180" s="174"/>
      <c r="J180" s="174"/>
      <c r="K180" s="174"/>
      <c r="L180" s="331">
        <v>2.5000000000000001E-2</v>
      </c>
      <c r="M180" s="115"/>
    </row>
    <row r="181" spans="1:13" outlineLevel="2">
      <c r="A181" s="363"/>
      <c r="B181" s="365"/>
      <c r="C181" s="151" t="str">
        <f t="shared" si="6"/>
        <v>Gaz de réseau</v>
      </c>
      <c r="D181" s="115"/>
      <c r="E181" s="218" t="s">
        <v>258</v>
      </c>
      <c r="F181" s="177">
        <v>0.64</v>
      </c>
      <c r="G181" s="174"/>
      <c r="H181" s="174">
        <v>0.64</v>
      </c>
      <c r="I181" s="174"/>
      <c r="J181" s="174"/>
      <c r="K181" s="174"/>
      <c r="L181" s="331">
        <v>0.64</v>
      </c>
      <c r="M181" s="115"/>
    </row>
    <row r="182" spans="1:13" outlineLevel="2">
      <c r="A182" s="363"/>
      <c r="B182" s="365"/>
      <c r="C182" s="151" t="str">
        <f t="shared" si="6"/>
        <v>Biomasse solide</v>
      </c>
      <c r="D182" s="115"/>
      <c r="E182" s="218" t="s">
        <v>197</v>
      </c>
      <c r="F182" s="177">
        <v>0</v>
      </c>
      <c r="G182" s="174"/>
      <c r="H182" s="174">
        <v>0</v>
      </c>
      <c r="I182" s="174"/>
      <c r="J182" s="174"/>
      <c r="K182" s="174"/>
      <c r="L182" s="331">
        <v>0</v>
      </c>
      <c r="M182" s="115"/>
    </row>
    <row r="183" spans="1:13" outlineLevel="2">
      <c r="A183" s="363"/>
      <c r="B183" s="365"/>
      <c r="C183" s="151" t="str">
        <f t="shared" si="6"/>
        <v>Déchets</v>
      </c>
      <c r="D183" s="115"/>
      <c r="E183" s="218" t="s">
        <v>24</v>
      </c>
      <c r="F183" s="177">
        <v>0</v>
      </c>
      <c r="G183" s="174"/>
      <c r="H183" s="174">
        <v>0</v>
      </c>
      <c r="I183" s="174"/>
      <c r="J183" s="174"/>
      <c r="K183" s="174"/>
      <c r="L183" s="331">
        <v>0</v>
      </c>
      <c r="M183" s="115"/>
    </row>
    <row r="184" spans="1:13" outlineLevel="2">
      <c r="A184" s="363"/>
      <c r="B184" s="365"/>
      <c r="C184" s="151" t="str">
        <f t="shared" si="6"/>
        <v>Biocarburants et gaz renouvelable</v>
      </c>
      <c r="D184" s="115"/>
      <c r="E184" s="218" t="s">
        <v>259</v>
      </c>
      <c r="F184" s="177">
        <v>0</v>
      </c>
      <c r="G184" s="174"/>
      <c r="H184" s="174">
        <v>0</v>
      </c>
      <c r="I184" s="174"/>
      <c r="J184" s="174"/>
      <c r="K184" s="174"/>
      <c r="L184" s="331">
        <v>0</v>
      </c>
      <c r="M184" s="115"/>
    </row>
    <row r="185" spans="1:13" outlineLevel="2">
      <c r="A185" s="363"/>
      <c r="B185" s="365"/>
      <c r="C185" s="151" t="str">
        <f t="shared" si="6"/>
        <v>Chaleur de l'environnement</v>
      </c>
      <c r="D185" s="115"/>
      <c r="E185" s="218" t="s">
        <v>200</v>
      </c>
      <c r="F185" s="177">
        <v>0</v>
      </c>
      <c r="G185" s="174"/>
      <c r="H185" s="174">
        <v>0</v>
      </c>
      <c r="I185" s="174"/>
      <c r="J185" s="174"/>
      <c r="K185" s="174"/>
      <c r="L185" s="331">
        <v>0</v>
      </c>
      <c r="M185" s="115"/>
    </row>
    <row r="186" spans="1:13" outlineLevel="2">
      <c r="A186" s="363"/>
      <c r="B186" s="365"/>
      <c r="C186" s="151" t="str">
        <f t="shared" ref="C186:C250" si="7">IF(ISBLANK(E186),IF(ISBLANK(F186),"",F186),E186)</f>
        <v>Electricité</v>
      </c>
      <c r="D186" s="115"/>
      <c r="E186" s="218" t="s">
        <v>260</v>
      </c>
      <c r="F186" s="177">
        <v>0.33500000000000002</v>
      </c>
      <c r="G186" s="174"/>
      <c r="H186" s="174">
        <v>0.33500000000000002</v>
      </c>
      <c r="I186" s="174"/>
      <c r="J186" s="174"/>
      <c r="K186" s="174"/>
      <c r="L186" s="331">
        <v>0.33500000000000002</v>
      </c>
      <c r="M186" s="115"/>
    </row>
    <row r="187" spans="1:13" outlineLevel="2">
      <c r="A187" s="363"/>
      <c r="B187" s="365"/>
      <c r="C187" s="151" t="str">
        <f t="shared" si="7"/>
        <v>Chaleur vendue</v>
      </c>
      <c r="D187" s="115"/>
      <c r="E187" s="218" t="s">
        <v>195</v>
      </c>
      <c r="F187" s="177">
        <v>0</v>
      </c>
      <c r="G187" s="174"/>
      <c r="H187" s="174">
        <v>0</v>
      </c>
      <c r="I187" s="174"/>
      <c r="J187" s="174"/>
      <c r="K187" s="174"/>
      <c r="L187" s="331">
        <v>0</v>
      </c>
      <c r="M187" s="115"/>
    </row>
    <row r="188" spans="1:13" ht="15" outlineLevel="2" thickBot="1">
      <c r="A188" s="363"/>
      <c r="B188" s="365"/>
      <c r="C188" s="151" t="str">
        <f t="shared" si="7"/>
        <v>Hydrogène</v>
      </c>
      <c r="D188" s="115"/>
      <c r="E188" s="222" t="s">
        <v>196</v>
      </c>
      <c r="F188" s="333">
        <v>0</v>
      </c>
      <c r="G188" s="334"/>
      <c r="H188" s="334">
        <v>0</v>
      </c>
      <c r="I188" s="334"/>
      <c r="J188" s="334"/>
      <c r="K188" s="334"/>
      <c r="L188" s="335">
        <v>0</v>
      </c>
      <c r="M188" s="115"/>
    </row>
    <row r="189" spans="1:13" outlineLevel="2">
      <c r="A189" s="363"/>
      <c r="B189" s="365"/>
      <c r="C189" s="151" t="str">
        <f t="shared" si="7"/>
        <v/>
      </c>
      <c r="D189" s="115"/>
      <c r="E189" s="610"/>
      <c r="F189" s="610"/>
      <c r="G189" s="610"/>
      <c r="H189" s="610"/>
      <c r="I189" s="610"/>
      <c r="J189" s="610"/>
      <c r="K189" s="610"/>
      <c r="L189" s="610"/>
      <c r="M189" s="115"/>
    </row>
    <row r="190" spans="1:13" outlineLevel="1">
      <c r="A190" s="363"/>
      <c r="B190" s="365"/>
      <c r="C190" s="151" t="str">
        <f t="shared" si="7"/>
        <v/>
      </c>
      <c r="D190" s="115"/>
      <c r="E190" s="142"/>
      <c r="F190" s="142"/>
      <c r="G190" s="142"/>
      <c r="H190" s="142"/>
      <c r="I190" s="142"/>
      <c r="J190" s="142"/>
      <c r="K190" s="142"/>
      <c r="L190" s="142"/>
      <c r="M190" s="115"/>
    </row>
    <row r="191" spans="1:13" ht="15" outlineLevel="1" thickBot="1">
      <c r="A191" s="363"/>
      <c r="B191" s="365"/>
      <c r="C191" s="151" t="str">
        <f t="shared" si="7"/>
        <v>Autres métaux primaires</v>
      </c>
      <c r="D191" s="115"/>
      <c r="E191" s="627" t="s">
        <v>876</v>
      </c>
      <c r="F191" s="627"/>
      <c r="G191" s="627"/>
      <c r="H191" s="627"/>
      <c r="I191" s="627"/>
      <c r="J191" s="627"/>
      <c r="K191" s="627"/>
      <c r="L191" s="627"/>
      <c r="M191" s="115"/>
    </row>
    <row r="192" spans="1:13" outlineLevel="2">
      <c r="A192" s="363"/>
      <c r="B192" s="365"/>
      <c r="C192" s="151" t="str">
        <f t="shared" si="7"/>
        <v>%</v>
      </c>
      <c r="D192" s="115"/>
      <c r="E192" s="322" t="s">
        <v>121</v>
      </c>
      <c r="F192" s="323">
        <v>2021</v>
      </c>
      <c r="G192" s="323">
        <v>2025</v>
      </c>
      <c r="H192" s="323">
        <v>2030</v>
      </c>
      <c r="I192" s="323">
        <v>2035</v>
      </c>
      <c r="J192" s="323">
        <v>2040</v>
      </c>
      <c r="K192" s="323">
        <v>2045</v>
      </c>
      <c r="L192" s="324">
        <v>2050</v>
      </c>
      <c r="M192" s="115"/>
    </row>
    <row r="193" spans="1:13" outlineLevel="2">
      <c r="A193" s="363"/>
      <c r="B193" s="365"/>
      <c r="C193" s="151" t="str">
        <f t="shared" si="7"/>
        <v>Charbon</v>
      </c>
      <c r="D193" s="115"/>
      <c r="E193" s="218" t="s">
        <v>185</v>
      </c>
      <c r="F193" s="180">
        <v>0</v>
      </c>
      <c r="G193" s="181"/>
      <c r="H193" s="181">
        <v>0</v>
      </c>
      <c r="I193" s="181"/>
      <c r="J193" s="181"/>
      <c r="K193" s="181"/>
      <c r="L193" s="409">
        <v>0</v>
      </c>
      <c r="M193" s="115"/>
    </row>
    <row r="194" spans="1:13" outlineLevel="2">
      <c r="A194" s="363"/>
      <c r="B194" s="365"/>
      <c r="C194" s="151" t="str">
        <f t="shared" si="7"/>
        <v>Coke</v>
      </c>
      <c r="D194" s="115"/>
      <c r="E194" s="218" t="s">
        <v>257</v>
      </c>
      <c r="F194" s="177">
        <v>0</v>
      </c>
      <c r="G194" s="174"/>
      <c r="H194" s="174">
        <v>0</v>
      </c>
      <c r="I194" s="174"/>
      <c r="J194" s="174"/>
      <c r="K194" s="174"/>
      <c r="L194" s="331">
        <v>0</v>
      </c>
      <c r="M194" s="115"/>
    </row>
    <row r="195" spans="1:13" outlineLevel="2">
      <c r="A195" s="363"/>
      <c r="B195" s="365"/>
      <c r="C195" s="151" t="str">
        <f t="shared" si="7"/>
        <v>Produits pétroliers raffinés</v>
      </c>
      <c r="D195" s="115"/>
      <c r="E195" s="218" t="s">
        <v>187</v>
      </c>
      <c r="F195" s="177">
        <v>0</v>
      </c>
      <c r="G195" s="174"/>
      <c r="H195" s="174">
        <v>0</v>
      </c>
      <c r="I195" s="174"/>
      <c r="J195" s="174"/>
      <c r="K195" s="174"/>
      <c r="L195" s="331">
        <v>0</v>
      </c>
      <c r="M195" s="115"/>
    </row>
    <row r="196" spans="1:13" outlineLevel="2">
      <c r="A196" s="363"/>
      <c r="B196" s="365"/>
      <c r="C196" s="151" t="str">
        <f t="shared" si="7"/>
        <v>Gaz de réseau</v>
      </c>
      <c r="D196" s="115"/>
      <c r="E196" s="218" t="s">
        <v>258</v>
      </c>
      <c r="F196" s="177">
        <v>0.28499999999999998</v>
      </c>
      <c r="G196" s="174"/>
      <c r="H196" s="174">
        <v>0.22900000000000001</v>
      </c>
      <c r="I196" s="174"/>
      <c r="J196" s="174"/>
      <c r="K196" s="174"/>
      <c r="L196" s="331">
        <v>0.15</v>
      </c>
      <c r="M196" s="115"/>
    </row>
    <row r="197" spans="1:13" outlineLevel="2">
      <c r="A197" s="363"/>
      <c r="B197" s="365"/>
      <c r="C197" s="151" t="str">
        <f t="shared" si="7"/>
        <v>Biomasse solide</v>
      </c>
      <c r="D197" s="115"/>
      <c r="E197" s="218" t="s">
        <v>197</v>
      </c>
      <c r="F197" s="177">
        <v>3.0000000000000001E-3</v>
      </c>
      <c r="G197" s="174"/>
      <c r="H197" s="174">
        <v>0.03</v>
      </c>
      <c r="I197" s="174"/>
      <c r="J197" s="174"/>
      <c r="K197" s="174"/>
      <c r="L197" s="331">
        <v>0.04</v>
      </c>
      <c r="M197" s="115"/>
    </row>
    <row r="198" spans="1:13" outlineLevel="2">
      <c r="A198" s="363"/>
      <c r="B198" s="365"/>
      <c r="C198" s="151" t="str">
        <f t="shared" si="7"/>
        <v>Déchets</v>
      </c>
      <c r="D198" s="115"/>
      <c r="E198" s="218" t="s">
        <v>24</v>
      </c>
      <c r="F198" s="177">
        <v>0</v>
      </c>
      <c r="G198" s="174"/>
      <c r="H198" s="174">
        <v>0</v>
      </c>
      <c r="I198" s="174"/>
      <c r="J198" s="174"/>
      <c r="K198" s="174"/>
      <c r="L198" s="331">
        <v>0</v>
      </c>
      <c r="M198" s="115"/>
    </row>
    <row r="199" spans="1:13" outlineLevel="2">
      <c r="A199" s="363"/>
      <c r="B199" s="365"/>
      <c r="C199" s="151" t="str">
        <f t="shared" si="7"/>
        <v>Biocarburants et gaz renouvelable</v>
      </c>
      <c r="D199" s="115"/>
      <c r="E199" s="218" t="s">
        <v>259</v>
      </c>
      <c r="F199" s="177">
        <v>0</v>
      </c>
      <c r="G199" s="174"/>
      <c r="H199" s="174">
        <v>0</v>
      </c>
      <c r="I199" s="174"/>
      <c r="J199" s="174"/>
      <c r="K199" s="174"/>
      <c r="L199" s="331">
        <v>0</v>
      </c>
      <c r="M199" s="115"/>
    </row>
    <row r="200" spans="1:13" outlineLevel="2">
      <c r="A200" s="363"/>
      <c r="B200" s="365"/>
      <c r="C200" s="151" t="str">
        <f t="shared" si="7"/>
        <v>Chaleur de l'environnement</v>
      </c>
      <c r="D200" s="115"/>
      <c r="E200" s="218" t="s">
        <v>200</v>
      </c>
      <c r="F200" s="177">
        <v>0</v>
      </c>
      <c r="G200" s="174"/>
      <c r="H200" s="174">
        <v>0</v>
      </c>
      <c r="I200" s="174"/>
      <c r="J200" s="174"/>
      <c r="K200" s="174"/>
      <c r="L200" s="331">
        <v>0</v>
      </c>
      <c r="M200" s="115"/>
    </row>
    <row r="201" spans="1:13" outlineLevel="2">
      <c r="A201" s="363"/>
      <c r="B201" s="365"/>
      <c r="C201" s="151" t="str">
        <f t="shared" si="7"/>
        <v>Electricité</v>
      </c>
      <c r="D201" s="115"/>
      <c r="E201" s="218" t="s">
        <v>260</v>
      </c>
      <c r="F201" s="177">
        <v>0.67300000000000004</v>
      </c>
      <c r="G201" s="174"/>
      <c r="H201" s="174">
        <v>0.70099999999999996</v>
      </c>
      <c r="I201" s="174"/>
      <c r="J201" s="174"/>
      <c r="K201" s="174"/>
      <c r="L201" s="331">
        <v>0.755</v>
      </c>
      <c r="M201" s="115"/>
    </row>
    <row r="202" spans="1:13" outlineLevel="2">
      <c r="A202" s="363"/>
      <c r="B202" s="365"/>
      <c r="C202" s="151" t="str">
        <f t="shared" si="7"/>
        <v>Chaleur vendue</v>
      </c>
      <c r="D202" s="115"/>
      <c r="E202" s="218" t="s">
        <v>195</v>
      </c>
      <c r="F202" s="177">
        <v>0.04</v>
      </c>
      <c r="G202" s="174"/>
      <c r="H202" s="174">
        <v>0.03</v>
      </c>
      <c r="I202" s="174"/>
      <c r="J202" s="174"/>
      <c r="K202" s="174"/>
      <c r="L202" s="331">
        <v>1.4999999999999999E-2</v>
      </c>
      <c r="M202" s="115"/>
    </row>
    <row r="203" spans="1:13" ht="15" outlineLevel="2" thickBot="1">
      <c r="A203" s="363"/>
      <c r="B203" s="365"/>
      <c r="C203" s="151" t="str">
        <f t="shared" si="7"/>
        <v>Hydrogène</v>
      </c>
      <c r="D203" s="115"/>
      <c r="E203" s="222" t="s">
        <v>196</v>
      </c>
      <c r="F203" s="333">
        <v>0</v>
      </c>
      <c r="G203" s="334"/>
      <c r="H203" s="334">
        <v>8.9999999999999993E-3</v>
      </c>
      <c r="I203" s="334"/>
      <c r="J203" s="334"/>
      <c r="K203" s="334"/>
      <c r="L203" s="335">
        <v>0.04</v>
      </c>
      <c r="M203" s="115"/>
    </row>
    <row r="204" spans="1:13" outlineLevel="2">
      <c r="A204" s="363"/>
      <c r="B204" s="365"/>
      <c r="C204" s="151" t="str">
        <f t="shared" si="7"/>
        <v/>
      </c>
      <c r="D204" s="115"/>
      <c r="E204" s="610"/>
      <c r="F204" s="610"/>
      <c r="G204" s="610"/>
      <c r="H204" s="610"/>
      <c r="I204" s="610"/>
      <c r="J204" s="610"/>
      <c r="K204" s="610"/>
      <c r="L204" s="610"/>
      <c r="M204" s="115"/>
    </row>
    <row r="205" spans="1:13" outlineLevel="1">
      <c r="A205" s="363"/>
      <c r="B205" s="365"/>
      <c r="C205" s="151" t="str">
        <f t="shared" si="7"/>
        <v/>
      </c>
      <c r="D205" s="115"/>
      <c r="E205" s="142"/>
      <c r="F205" s="142"/>
      <c r="G205" s="142"/>
      <c r="H205" s="142"/>
      <c r="I205" s="142"/>
      <c r="J205" s="142"/>
      <c r="K205" s="142"/>
      <c r="L205" s="142"/>
      <c r="M205" s="115"/>
    </row>
    <row r="206" spans="1:13" ht="15" outlineLevel="1" thickBot="1">
      <c r="A206" s="363"/>
      <c r="B206" s="365"/>
      <c r="C206" s="151" t="str">
        <f t="shared" si="7"/>
        <v>Ammoniac</v>
      </c>
      <c r="D206" s="115"/>
      <c r="E206" s="627" t="s">
        <v>149</v>
      </c>
      <c r="F206" s="627"/>
      <c r="G206" s="627"/>
      <c r="H206" s="627"/>
      <c r="I206" s="627"/>
      <c r="J206" s="627"/>
      <c r="K206" s="627"/>
      <c r="L206" s="627"/>
      <c r="M206" s="115"/>
    </row>
    <row r="207" spans="1:13" outlineLevel="2">
      <c r="A207" s="363"/>
      <c r="B207" s="365"/>
      <c r="C207" s="151" t="str">
        <f t="shared" si="7"/>
        <v>%</v>
      </c>
      <c r="D207" s="115"/>
      <c r="E207" s="322" t="s">
        <v>121</v>
      </c>
      <c r="F207" s="323">
        <v>2021</v>
      </c>
      <c r="G207" s="323">
        <v>2025</v>
      </c>
      <c r="H207" s="323">
        <v>2030</v>
      </c>
      <c r="I207" s="323">
        <v>2035</v>
      </c>
      <c r="J207" s="323">
        <v>2040</v>
      </c>
      <c r="K207" s="323">
        <v>2045</v>
      </c>
      <c r="L207" s="324">
        <v>2050</v>
      </c>
      <c r="M207" s="115"/>
    </row>
    <row r="208" spans="1:13" outlineLevel="2">
      <c r="A208" s="363"/>
      <c r="B208" s="365"/>
      <c r="C208" s="151" t="str">
        <f t="shared" si="7"/>
        <v>Charbon</v>
      </c>
      <c r="D208" s="115"/>
      <c r="E208" s="218" t="s">
        <v>185</v>
      </c>
      <c r="F208" s="180">
        <v>0</v>
      </c>
      <c r="G208" s="181"/>
      <c r="H208" s="181">
        <v>0</v>
      </c>
      <c r="I208" s="181"/>
      <c r="J208" s="181"/>
      <c r="K208" s="181"/>
      <c r="L208" s="409">
        <v>0</v>
      </c>
      <c r="M208" s="115"/>
    </row>
    <row r="209" spans="1:13" outlineLevel="2">
      <c r="A209" s="363"/>
      <c r="B209" s="365"/>
      <c r="C209" s="151" t="str">
        <f t="shared" si="7"/>
        <v>Coke</v>
      </c>
      <c r="D209" s="115"/>
      <c r="E209" s="218" t="s">
        <v>257</v>
      </c>
      <c r="F209" s="177">
        <v>0</v>
      </c>
      <c r="G209" s="174"/>
      <c r="H209" s="174">
        <v>0</v>
      </c>
      <c r="I209" s="174"/>
      <c r="J209" s="174"/>
      <c r="K209" s="174"/>
      <c r="L209" s="331">
        <v>0</v>
      </c>
      <c r="M209" s="115"/>
    </row>
    <row r="210" spans="1:13" outlineLevel="2">
      <c r="A210" s="363"/>
      <c r="B210" s="365"/>
      <c r="C210" s="151" t="str">
        <f t="shared" si="7"/>
        <v>Produits pétroliers raffinés</v>
      </c>
      <c r="D210" s="115"/>
      <c r="E210" s="218" t="s">
        <v>187</v>
      </c>
      <c r="F210" s="177">
        <v>5.0000000000000001E-3</v>
      </c>
      <c r="G210" s="174"/>
      <c r="H210" s="174">
        <v>5.0000000000000001E-3</v>
      </c>
      <c r="I210" s="174"/>
      <c r="J210" s="174"/>
      <c r="K210" s="174"/>
      <c r="L210" s="331">
        <v>5.0000000000000001E-3</v>
      </c>
      <c r="M210" s="115"/>
    </row>
    <row r="211" spans="1:13" outlineLevel="2">
      <c r="A211" s="363"/>
      <c r="B211" s="365"/>
      <c r="C211" s="151" t="str">
        <f t="shared" si="7"/>
        <v>Gaz de réseau</v>
      </c>
      <c r="D211" s="115"/>
      <c r="E211" s="218" t="s">
        <v>258</v>
      </c>
      <c r="F211" s="177">
        <v>0.93</v>
      </c>
      <c r="G211" s="174"/>
      <c r="H211" s="174">
        <v>0.93</v>
      </c>
      <c r="I211" s="174"/>
      <c r="J211" s="174"/>
      <c r="K211" s="174"/>
      <c r="L211" s="331">
        <v>0.93</v>
      </c>
      <c r="M211" s="115"/>
    </row>
    <row r="212" spans="1:13" outlineLevel="2">
      <c r="A212" s="363"/>
      <c r="B212" s="365"/>
      <c r="C212" s="151" t="str">
        <f t="shared" si="7"/>
        <v>Biomasse solide</v>
      </c>
      <c r="D212" s="115"/>
      <c r="E212" s="218" t="s">
        <v>197</v>
      </c>
      <c r="F212" s="177">
        <v>5.0000000000000001E-3</v>
      </c>
      <c r="G212" s="174"/>
      <c r="H212" s="174">
        <v>5.0000000000000001E-3</v>
      </c>
      <c r="I212" s="174"/>
      <c r="J212" s="174"/>
      <c r="K212" s="174"/>
      <c r="L212" s="331">
        <v>5.0000000000000001E-3</v>
      </c>
      <c r="M212" s="115"/>
    </row>
    <row r="213" spans="1:13" outlineLevel="2">
      <c r="A213" s="363"/>
      <c r="B213" s="365"/>
      <c r="C213" s="151" t="str">
        <f t="shared" si="7"/>
        <v>Déchets</v>
      </c>
      <c r="D213" s="115"/>
      <c r="E213" s="218" t="s">
        <v>24</v>
      </c>
      <c r="F213" s="177">
        <v>0</v>
      </c>
      <c r="G213" s="174"/>
      <c r="H213" s="174">
        <v>0</v>
      </c>
      <c r="I213" s="174"/>
      <c r="J213" s="174"/>
      <c r="K213" s="174"/>
      <c r="L213" s="331">
        <v>0</v>
      </c>
      <c r="M213" s="115"/>
    </row>
    <row r="214" spans="1:13" outlineLevel="2">
      <c r="A214" s="363"/>
      <c r="B214" s="365"/>
      <c r="C214" s="151" t="str">
        <f t="shared" si="7"/>
        <v>Biocarburants et gaz renouvelable</v>
      </c>
      <c r="D214" s="115"/>
      <c r="E214" s="218" t="s">
        <v>259</v>
      </c>
      <c r="F214" s="177">
        <v>0</v>
      </c>
      <c r="G214" s="174"/>
      <c r="H214" s="174">
        <v>0</v>
      </c>
      <c r="I214" s="174"/>
      <c r="J214" s="174"/>
      <c r="K214" s="174"/>
      <c r="L214" s="331">
        <v>0</v>
      </c>
      <c r="M214" s="115"/>
    </row>
    <row r="215" spans="1:13" outlineLevel="2">
      <c r="A215" s="363"/>
      <c r="B215" s="365"/>
      <c r="C215" s="151" t="str">
        <f t="shared" si="7"/>
        <v>Chaleur de l'environnement</v>
      </c>
      <c r="D215" s="115"/>
      <c r="E215" s="218" t="s">
        <v>200</v>
      </c>
      <c r="F215" s="177">
        <v>0</v>
      </c>
      <c r="G215" s="174"/>
      <c r="H215" s="174">
        <v>0</v>
      </c>
      <c r="I215" s="174"/>
      <c r="J215" s="174"/>
      <c r="K215" s="174"/>
      <c r="L215" s="331">
        <v>0</v>
      </c>
      <c r="M215" s="115"/>
    </row>
    <row r="216" spans="1:13" outlineLevel="2">
      <c r="A216" s="363"/>
      <c r="B216" s="365"/>
      <c r="C216" s="151" t="str">
        <f t="shared" si="7"/>
        <v>Electricité</v>
      </c>
      <c r="D216" s="115"/>
      <c r="E216" s="218" t="s">
        <v>260</v>
      </c>
      <c r="F216" s="177">
        <v>0.06</v>
      </c>
      <c r="G216" s="174"/>
      <c r="H216" s="174">
        <v>0.06</v>
      </c>
      <c r="I216" s="174"/>
      <c r="J216" s="174"/>
      <c r="K216" s="174"/>
      <c r="L216" s="331">
        <v>0.06</v>
      </c>
      <c r="M216" s="115"/>
    </row>
    <row r="217" spans="1:13" outlineLevel="2">
      <c r="A217" s="363"/>
      <c r="B217" s="365"/>
      <c r="C217" s="151" t="str">
        <f t="shared" si="7"/>
        <v>Chaleur vendue</v>
      </c>
      <c r="D217" s="115"/>
      <c r="E217" s="218" t="s">
        <v>195</v>
      </c>
      <c r="F217" s="177">
        <v>0</v>
      </c>
      <c r="G217" s="174"/>
      <c r="H217" s="174">
        <v>0</v>
      </c>
      <c r="I217" s="174"/>
      <c r="J217" s="174"/>
      <c r="K217" s="174"/>
      <c r="L217" s="331">
        <v>0</v>
      </c>
      <c r="M217" s="115"/>
    </row>
    <row r="218" spans="1:13" ht="15" outlineLevel="2" thickBot="1">
      <c r="A218" s="363"/>
      <c r="B218" s="365"/>
      <c r="C218" s="151" t="str">
        <f t="shared" si="7"/>
        <v>Hydrogène</v>
      </c>
      <c r="D218" s="115"/>
      <c r="E218" s="222" t="s">
        <v>196</v>
      </c>
      <c r="F218" s="333">
        <v>0</v>
      </c>
      <c r="G218" s="334"/>
      <c r="H218" s="334">
        <v>0</v>
      </c>
      <c r="I218" s="334"/>
      <c r="J218" s="334"/>
      <c r="K218" s="334"/>
      <c r="L218" s="335">
        <v>0</v>
      </c>
      <c r="M218" s="115"/>
    </row>
    <row r="219" spans="1:13" outlineLevel="2">
      <c r="A219" s="363"/>
      <c r="B219" s="365"/>
      <c r="C219" s="151" t="str">
        <f t="shared" si="7"/>
        <v/>
      </c>
      <c r="D219" s="115"/>
      <c r="E219" s="610"/>
      <c r="F219" s="610"/>
      <c r="G219" s="610"/>
      <c r="H219" s="610"/>
      <c r="I219" s="610"/>
      <c r="J219" s="610"/>
      <c r="K219" s="610"/>
      <c r="L219" s="610"/>
      <c r="M219" s="115"/>
    </row>
    <row r="220" spans="1:13" outlineLevel="1">
      <c r="A220" s="363"/>
      <c r="B220" s="365"/>
      <c r="C220" s="151" t="str">
        <f t="shared" si="7"/>
        <v/>
      </c>
      <c r="D220" s="115"/>
      <c r="E220" s="142"/>
      <c r="F220" s="142"/>
      <c r="G220" s="142"/>
      <c r="H220" s="142"/>
      <c r="I220" s="142"/>
      <c r="J220" s="142"/>
      <c r="K220" s="142"/>
      <c r="L220" s="142"/>
      <c r="M220" s="115"/>
    </row>
    <row r="221" spans="1:13" ht="15" outlineLevel="1" thickBot="1">
      <c r="A221" s="363"/>
      <c r="B221" s="365"/>
      <c r="C221" s="151" t="str">
        <f t="shared" si="7"/>
        <v>Pétrochimie de base</v>
      </c>
      <c r="D221" s="115"/>
      <c r="E221" s="627" t="s">
        <v>877</v>
      </c>
      <c r="F221" s="627"/>
      <c r="G221" s="627"/>
      <c r="H221" s="627"/>
      <c r="I221" s="627"/>
      <c r="J221" s="627"/>
      <c r="K221" s="627"/>
      <c r="L221" s="627"/>
      <c r="M221" s="115"/>
    </row>
    <row r="222" spans="1:13" outlineLevel="2">
      <c r="A222" s="363"/>
      <c r="B222" s="365"/>
      <c r="C222" s="151" t="str">
        <f t="shared" si="7"/>
        <v>%</v>
      </c>
      <c r="D222" s="115"/>
      <c r="E222" s="322" t="s">
        <v>121</v>
      </c>
      <c r="F222" s="323">
        <v>2021</v>
      </c>
      <c r="G222" s="323">
        <v>2025</v>
      </c>
      <c r="H222" s="323">
        <v>2030</v>
      </c>
      <c r="I222" s="323">
        <v>2035</v>
      </c>
      <c r="J222" s="323">
        <v>2040</v>
      </c>
      <c r="K222" s="323">
        <v>2045</v>
      </c>
      <c r="L222" s="324">
        <v>2050</v>
      </c>
      <c r="M222" s="115"/>
    </row>
    <row r="223" spans="1:13" outlineLevel="2">
      <c r="A223" s="363"/>
      <c r="B223" s="365"/>
      <c r="C223" s="151" t="str">
        <f t="shared" si="7"/>
        <v>Charbon</v>
      </c>
      <c r="D223" s="115"/>
      <c r="E223" s="218" t="s">
        <v>185</v>
      </c>
      <c r="F223" s="177">
        <v>0</v>
      </c>
      <c r="G223" s="181"/>
      <c r="H223" s="174">
        <v>0</v>
      </c>
      <c r="I223" s="181"/>
      <c r="J223" s="181"/>
      <c r="K223" s="181"/>
      <c r="L223" s="331">
        <v>0</v>
      </c>
      <c r="M223" s="115"/>
    </row>
    <row r="224" spans="1:13" outlineLevel="2">
      <c r="A224" s="363"/>
      <c r="B224" s="365"/>
      <c r="C224" s="151" t="str">
        <f t="shared" si="7"/>
        <v>Coke</v>
      </c>
      <c r="D224" s="115"/>
      <c r="E224" s="218" t="s">
        <v>257</v>
      </c>
      <c r="F224" s="177">
        <v>0</v>
      </c>
      <c r="G224" s="174"/>
      <c r="H224" s="174">
        <v>0</v>
      </c>
      <c r="I224" s="174"/>
      <c r="J224" s="174"/>
      <c r="K224" s="174"/>
      <c r="L224" s="331">
        <v>0</v>
      </c>
      <c r="M224" s="115"/>
    </row>
    <row r="225" spans="1:13" outlineLevel="2">
      <c r="A225" s="363"/>
      <c r="B225" s="365"/>
      <c r="C225" s="151" t="str">
        <f t="shared" si="7"/>
        <v>Produits pétroliers raffinés</v>
      </c>
      <c r="D225" s="115"/>
      <c r="E225" s="218" t="s">
        <v>187</v>
      </c>
      <c r="F225" s="177">
        <v>0</v>
      </c>
      <c r="G225" s="174"/>
      <c r="H225" s="174">
        <v>0</v>
      </c>
      <c r="I225" s="174"/>
      <c r="J225" s="174"/>
      <c r="K225" s="174"/>
      <c r="L225" s="331">
        <v>0</v>
      </c>
      <c r="M225" s="115"/>
    </row>
    <row r="226" spans="1:13" outlineLevel="2">
      <c r="A226" s="363"/>
      <c r="B226" s="365"/>
      <c r="C226" s="151" t="str">
        <f t="shared" si="7"/>
        <v>Gaz de réseau</v>
      </c>
      <c r="D226" s="115"/>
      <c r="E226" s="218" t="s">
        <v>258</v>
      </c>
      <c r="F226" s="177">
        <v>0.10794572797857319</v>
      </c>
      <c r="G226" s="174"/>
      <c r="H226" s="174">
        <v>0.10794572797857319</v>
      </c>
      <c r="I226" s="174"/>
      <c r="J226" s="174"/>
      <c r="K226" s="174"/>
      <c r="L226" s="331">
        <v>0.10646919713477628</v>
      </c>
      <c r="M226" s="115"/>
    </row>
    <row r="227" spans="1:13" s="399" customFormat="1" outlineLevel="2">
      <c r="A227" s="363"/>
      <c r="B227" s="365"/>
      <c r="C227" s="151"/>
      <c r="D227" s="115"/>
      <c r="E227" s="218" t="s">
        <v>1037</v>
      </c>
      <c r="F227" s="177">
        <v>0.61169245854524801</v>
      </c>
      <c r="G227" s="174"/>
      <c r="H227" s="174">
        <v>0.61169245854524801</v>
      </c>
      <c r="I227" s="174"/>
      <c r="J227" s="174"/>
      <c r="K227" s="174"/>
      <c r="L227" s="331">
        <f>100%-SUM(L223:L226,L228:L234)</f>
        <v>0.60332545043039887</v>
      </c>
      <c r="M227" s="115"/>
    </row>
    <row r="228" spans="1:13" outlineLevel="2">
      <c r="A228" s="363"/>
      <c r="B228" s="365"/>
      <c r="C228" s="151" t="str">
        <f t="shared" si="7"/>
        <v>Biomasse solide</v>
      </c>
      <c r="D228" s="115"/>
      <c r="E228" s="218" t="s">
        <v>197</v>
      </c>
      <c r="F228" s="177">
        <v>1.2170881736721574E-2</v>
      </c>
      <c r="G228" s="174"/>
      <c r="H228" s="174">
        <v>1.2170881736721572E-2</v>
      </c>
      <c r="I228" s="174"/>
      <c r="J228" s="174"/>
      <c r="K228" s="174"/>
      <c r="L228" s="331">
        <v>1.2708113655420355E-2</v>
      </c>
      <c r="M228" s="115"/>
    </row>
    <row r="229" spans="1:13" outlineLevel="2">
      <c r="A229" s="363"/>
      <c r="B229" s="365"/>
      <c r="C229" s="151" t="str">
        <f t="shared" si="7"/>
        <v>Déchets</v>
      </c>
      <c r="D229" s="115"/>
      <c r="E229" s="218" t="s">
        <v>24</v>
      </c>
      <c r="F229" s="177">
        <v>0</v>
      </c>
      <c r="G229" s="174"/>
      <c r="H229" s="174">
        <v>0</v>
      </c>
      <c r="I229" s="174"/>
      <c r="J229" s="174"/>
      <c r="K229" s="174"/>
      <c r="L229" s="331">
        <v>0</v>
      </c>
      <c r="M229" s="115"/>
    </row>
    <row r="230" spans="1:13" outlineLevel="2">
      <c r="A230" s="363"/>
      <c r="B230" s="365"/>
      <c r="C230" s="151" t="str">
        <f t="shared" si="7"/>
        <v>Biocarburants et gaz renouvelable</v>
      </c>
      <c r="D230" s="115"/>
      <c r="E230" s="218" t="s">
        <v>259</v>
      </c>
      <c r="F230" s="177">
        <v>0</v>
      </c>
      <c r="G230" s="174"/>
      <c r="H230" s="174">
        <v>0</v>
      </c>
      <c r="I230" s="174"/>
      <c r="J230" s="174"/>
      <c r="K230" s="174"/>
      <c r="L230" s="331">
        <v>0</v>
      </c>
      <c r="M230" s="115"/>
    </row>
    <row r="231" spans="1:13" outlineLevel="2">
      <c r="A231" s="363"/>
      <c r="B231" s="365"/>
      <c r="C231" s="151" t="str">
        <f t="shared" si="7"/>
        <v>Chaleur de l'environnement</v>
      </c>
      <c r="D231" s="115"/>
      <c r="E231" s="218" t="s">
        <v>200</v>
      </c>
      <c r="F231" s="177">
        <v>0</v>
      </c>
      <c r="G231" s="174"/>
      <c r="H231" s="174">
        <v>0</v>
      </c>
      <c r="I231" s="174"/>
      <c r="J231" s="174"/>
      <c r="K231" s="174"/>
      <c r="L231" s="331">
        <v>0</v>
      </c>
      <c r="M231" s="115"/>
    </row>
    <row r="232" spans="1:13" outlineLevel="2">
      <c r="A232" s="363"/>
      <c r="B232" s="365"/>
      <c r="C232" s="151" t="str">
        <f t="shared" si="7"/>
        <v>Electricité</v>
      </c>
      <c r="D232" s="115"/>
      <c r="E232" s="218" t="s">
        <v>260</v>
      </c>
      <c r="F232" s="177">
        <v>0.14698727447793306</v>
      </c>
      <c r="G232" s="174"/>
      <c r="H232" s="174">
        <v>0.14698727447793303</v>
      </c>
      <c r="I232" s="174"/>
      <c r="J232" s="174"/>
      <c r="K232" s="174"/>
      <c r="L232" s="331">
        <v>0.15932097604017165</v>
      </c>
      <c r="M232" s="115"/>
    </row>
    <row r="233" spans="1:13" outlineLevel="2">
      <c r="A233" s="363"/>
      <c r="B233" s="365"/>
      <c r="C233" s="151" t="str">
        <f t="shared" si="7"/>
        <v>Chaleur vendue</v>
      </c>
      <c r="D233" s="115"/>
      <c r="E233" s="218" t="s">
        <v>195</v>
      </c>
      <c r="F233" s="177">
        <v>0.12120365726152423</v>
      </c>
      <c r="G233" s="174"/>
      <c r="H233" s="174">
        <v>0.12120365726152421</v>
      </c>
      <c r="I233" s="174"/>
      <c r="J233" s="174"/>
      <c r="K233" s="174"/>
      <c r="L233" s="331">
        <v>0.11817626273923293</v>
      </c>
      <c r="M233" s="115"/>
    </row>
    <row r="234" spans="1:13" ht="15" outlineLevel="2" thickBot="1">
      <c r="A234" s="363"/>
      <c r="B234" s="365"/>
      <c r="C234" s="151" t="str">
        <f t="shared" si="7"/>
        <v>Hydrogène</v>
      </c>
      <c r="D234" s="115"/>
      <c r="E234" s="222" t="s">
        <v>196</v>
      </c>
      <c r="F234" s="333">
        <v>0</v>
      </c>
      <c r="G234" s="334"/>
      <c r="H234" s="334">
        <v>0</v>
      </c>
      <c r="I234" s="334"/>
      <c r="J234" s="334"/>
      <c r="K234" s="334"/>
      <c r="L234" s="335">
        <v>0</v>
      </c>
      <c r="M234" s="115"/>
    </row>
    <row r="235" spans="1:13" outlineLevel="2">
      <c r="A235" s="363"/>
      <c r="B235" s="365"/>
      <c r="C235" s="151" t="str">
        <f t="shared" si="7"/>
        <v>La consommation de gaz est répartie entre la consommation de gaz de réseau et le combustible coproduit lors du vapocracage.</v>
      </c>
      <c r="D235" s="115"/>
      <c r="E235" s="610" t="s">
        <v>1038</v>
      </c>
      <c r="F235" s="610"/>
      <c r="G235" s="610"/>
      <c r="H235" s="610"/>
      <c r="I235" s="610"/>
      <c r="J235" s="610"/>
      <c r="K235" s="610"/>
      <c r="L235" s="610"/>
      <c r="M235" s="115"/>
    </row>
    <row r="236" spans="1:13" outlineLevel="1">
      <c r="A236" s="363"/>
      <c r="B236" s="365"/>
      <c r="C236" s="151" t="str">
        <f t="shared" si="7"/>
        <v/>
      </c>
      <c r="D236" s="115"/>
      <c r="E236" s="142"/>
      <c r="F236" s="142"/>
      <c r="G236" s="142"/>
      <c r="H236" s="142"/>
      <c r="I236" s="142"/>
      <c r="J236" s="142"/>
      <c r="K236" s="142"/>
      <c r="L236" s="142"/>
      <c r="M236" s="115"/>
    </row>
    <row r="237" spans="1:13" ht="15" outlineLevel="1" thickBot="1">
      <c r="A237" s="363"/>
      <c r="B237" s="365"/>
      <c r="C237" s="151" t="str">
        <f t="shared" si="7"/>
        <v>Autres chimies</v>
      </c>
      <c r="D237" s="115"/>
      <c r="E237" s="627" t="s">
        <v>279</v>
      </c>
      <c r="F237" s="627"/>
      <c r="G237" s="627"/>
      <c r="H237" s="627"/>
      <c r="I237" s="627"/>
      <c r="J237" s="627"/>
      <c r="K237" s="627"/>
      <c r="L237" s="627"/>
      <c r="M237" s="115"/>
    </row>
    <row r="238" spans="1:13" outlineLevel="2">
      <c r="A238" s="363"/>
      <c r="B238" s="365"/>
      <c r="C238" s="151" t="str">
        <f t="shared" si="7"/>
        <v>%</v>
      </c>
      <c r="D238" s="115"/>
      <c r="E238" s="322" t="s">
        <v>121</v>
      </c>
      <c r="F238" s="323">
        <v>2021</v>
      </c>
      <c r="G238" s="323">
        <v>2025</v>
      </c>
      <c r="H238" s="323">
        <v>2030</v>
      </c>
      <c r="I238" s="323">
        <v>2035</v>
      </c>
      <c r="J238" s="323">
        <v>2040</v>
      </c>
      <c r="K238" s="323">
        <v>2045</v>
      </c>
      <c r="L238" s="324">
        <v>2050</v>
      </c>
      <c r="M238" s="115"/>
    </row>
    <row r="239" spans="1:13" outlineLevel="2">
      <c r="A239" s="363"/>
      <c r="B239" s="365"/>
      <c r="C239" s="151" t="str">
        <f t="shared" si="7"/>
        <v>Charbon</v>
      </c>
      <c r="D239" s="115"/>
      <c r="E239" s="218" t="s">
        <v>185</v>
      </c>
      <c r="F239" s="180">
        <v>6.9000000000000006E-2</v>
      </c>
      <c r="G239" s="181"/>
      <c r="H239" s="181">
        <v>4.4999999999999998E-2</v>
      </c>
      <c r="I239" s="181"/>
      <c r="J239" s="181"/>
      <c r="K239" s="181"/>
      <c r="L239" s="409">
        <v>4.4999999999999998E-2</v>
      </c>
      <c r="M239" s="115"/>
    </row>
    <row r="240" spans="1:13" outlineLevel="2">
      <c r="A240" s="363"/>
      <c r="B240" s="365"/>
      <c r="C240" s="151" t="str">
        <f t="shared" si="7"/>
        <v>Coke</v>
      </c>
      <c r="D240" s="115"/>
      <c r="E240" s="218" t="s">
        <v>257</v>
      </c>
      <c r="F240" s="177">
        <v>0</v>
      </c>
      <c r="G240" s="174"/>
      <c r="H240" s="174">
        <v>0</v>
      </c>
      <c r="I240" s="174"/>
      <c r="J240" s="174"/>
      <c r="K240" s="174"/>
      <c r="L240" s="331">
        <v>0</v>
      </c>
      <c r="M240" s="115"/>
    </row>
    <row r="241" spans="1:13" outlineLevel="2">
      <c r="A241" s="363"/>
      <c r="B241" s="365"/>
      <c r="C241" s="151" t="str">
        <f t="shared" si="7"/>
        <v>Produits pétroliers raffinés</v>
      </c>
      <c r="D241" s="115"/>
      <c r="E241" s="218" t="s">
        <v>187</v>
      </c>
      <c r="F241" s="177">
        <v>2.4E-2</v>
      </c>
      <c r="G241" s="174"/>
      <c r="H241" s="174">
        <v>2.4E-2</v>
      </c>
      <c r="I241" s="174"/>
      <c r="J241" s="174"/>
      <c r="K241" s="174"/>
      <c r="L241" s="331">
        <v>2.4E-2</v>
      </c>
      <c r="M241" s="115"/>
    </row>
    <row r="242" spans="1:13" outlineLevel="2">
      <c r="A242" s="363"/>
      <c r="B242" s="365"/>
      <c r="C242" s="151" t="str">
        <f t="shared" si="7"/>
        <v>Gaz de réseau</v>
      </c>
      <c r="D242" s="115"/>
      <c r="E242" s="218" t="s">
        <v>258</v>
      </c>
      <c r="F242" s="177">
        <v>0.54600000000000004</v>
      </c>
      <c r="G242" s="174"/>
      <c r="H242" s="174">
        <v>0.54600000000000004</v>
      </c>
      <c r="I242" s="174"/>
      <c r="J242" s="174"/>
      <c r="K242" s="174"/>
      <c r="L242" s="331">
        <v>0.54600000000000004</v>
      </c>
      <c r="M242" s="115"/>
    </row>
    <row r="243" spans="1:13" outlineLevel="2">
      <c r="A243" s="363"/>
      <c r="B243" s="365"/>
      <c r="C243" s="151" t="str">
        <f t="shared" si="7"/>
        <v>Biomasse solide</v>
      </c>
      <c r="D243" s="115"/>
      <c r="E243" s="218" t="s">
        <v>197</v>
      </c>
      <c r="F243" s="177">
        <v>1.6E-2</v>
      </c>
      <c r="G243" s="174"/>
      <c r="H243" s="174">
        <v>0.04</v>
      </c>
      <c r="I243" s="174"/>
      <c r="J243" s="174"/>
      <c r="K243" s="174"/>
      <c r="L243" s="331">
        <v>0.04</v>
      </c>
      <c r="M243" s="115"/>
    </row>
    <row r="244" spans="1:13" outlineLevel="2">
      <c r="A244" s="363"/>
      <c r="B244" s="365"/>
      <c r="C244" s="151" t="str">
        <f t="shared" si="7"/>
        <v>Déchets</v>
      </c>
      <c r="D244" s="115"/>
      <c r="E244" s="218" t="s">
        <v>24</v>
      </c>
      <c r="F244" s="177">
        <v>0</v>
      </c>
      <c r="G244" s="174"/>
      <c r="H244" s="174">
        <v>0</v>
      </c>
      <c r="I244" s="174"/>
      <c r="J244" s="174"/>
      <c r="K244" s="174"/>
      <c r="L244" s="331">
        <v>0</v>
      </c>
      <c r="M244" s="115"/>
    </row>
    <row r="245" spans="1:13" outlineLevel="2">
      <c r="A245" s="363"/>
      <c r="B245" s="365"/>
      <c r="C245" s="151" t="str">
        <f t="shared" si="7"/>
        <v>Biocarburants et gaz renouvelable</v>
      </c>
      <c r="D245" s="115"/>
      <c r="E245" s="218" t="s">
        <v>259</v>
      </c>
      <c r="F245" s="177">
        <v>0</v>
      </c>
      <c r="G245" s="174"/>
      <c r="H245" s="174">
        <v>0</v>
      </c>
      <c r="I245" s="174"/>
      <c r="J245" s="174"/>
      <c r="K245" s="174"/>
      <c r="L245" s="331">
        <v>0</v>
      </c>
      <c r="M245" s="115"/>
    </row>
    <row r="246" spans="1:13" outlineLevel="2">
      <c r="A246" s="363"/>
      <c r="B246" s="365"/>
      <c r="C246" s="151" t="str">
        <f t="shared" si="7"/>
        <v>Chaleur de l'environnement</v>
      </c>
      <c r="D246" s="115"/>
      <c r="E246" s="218" t="s">
        <v>200</v>
      </c>
      <c r="F246" s="177">
        <v>0</v>
      </c>
      <c r="G246" s="174"/>
      <c r="H246" s="174">
        <v>0</v>
      </c>
      <c r="I246" s="174"/>
      <c r="J246" s="174"/>
      <c r="K246" s="174"/>
      <c r="L246" s="331">
        <v>0</v>
      </c>
      <c r="M246" s="115"/>
    </row>
    <row r="247" spans="1:13" outlineLevel="2">
      <c r="A247" s="363"/>
      <c r="B247" s="365"/>
      <c r="C247" s="151" t="str">
        <f t="shared" si="7"/>
        <v>Electricité</v>
      </c>
      <c r="D247" s="115"/>
      <c r="E247" s="218" t="s">
        <v>260</v>
      </c>
      <c r="F247" s="177">
        <v>0.246</v>
      </c>
      <c r="G247" s="174"/>
      <c r="H247" s="174">
        <v>0.246</v>
      </c>
      <c r="I247" s="174"/>
      <c r="J247" s="174"/>
      <c r="K247" s="174"/>
      <c r="L247" s="331">
        <v>0.246</v>
      </c>
      <c r="M247" s="115"/>
    </row>
    <row r="248" spans="1:13" outlineLevel="2">
      <c r="A248" s="363"/>
      <c r="B248" s="365"/>
      <c r="C248" s="151" t="str">
        <f t="shared" si="7"/>
        <v>Chaleur vendue</v>
      </c>
      <c r="D248" s="115"/>
      <c r="E248" s="218" t="s">
        <v>195</v>
      </c>
      <c r="F248" s="177">
        <v>9.9000000000000005E-2</v>
      </c>
      <c r="G248" s="174"/>
      <c r="H248" s="174">
        <v>9.9000000000000005E-2</v>
      </c>
      <c r="I248" s="174"/>
      <c r="J248" s="174"/>
      <c r="K248" s="174"/>
      <c r="L248" s="331">
        <v>9.9000000000000005E-2</v>
      </c>
      <c r="M248" s="115"/>
    </row>
    <row r="249" spans="1:13" ht="15" outlineLevel="2" thickBot="1">
      <c r="A249" s="363"/>
      <c r="B249" s="365"/>
      <c r="C249" s="151" t="str">
        <f t="shared" si="7"/>
        <v>Hydrogène</v>
      </c>
      <c r="D249" s="115"/>
      <c r="E249" s="222" t="s">
        <v>196</v>
      </c>
      <c r="F249" s="333">
        <v>0</v>
      </c>
      <c r="G249" s="334"/>
      <c r="H249" s="334">
        <v>0</v>
      </c>
      <c r="I249" s="334"/>
      <c r="J249" s="334"/>
      <c r="K249" s="334"/>
      <c r="L249" s="335">
        <v>0</v>
      </c>
      <c r="M249" s="115"/>
    </row>
    <row r="250" spans="1:13" outlineLevel="2">
      <c r="A250" s="363"/>
      <c r="B250" s="365"/>
      <c r="C250" s="151" t="str">
        <f t="shared" si="7"/>
        <v/>
      </c>
      <c r="D250" s="115"/>
      <c r="E250" s="610"/>
      <c r="F250" s="610"/>
      <c r="G250" s="610"/>
      <c r="H250" s="610"/>
      <c r="I250" s="610"/>
      <c r="J250" s="610"/>
      <c r="K250" s="610"/>
      <c r="L250" s="610"/>
      <c r="M250" s="115"/>
    </row>
    <row r="251" spans="1:13" outlineLevel="1">
      <c r="A251" s="363"/>
      <c r="B251" s="365"/>
      <c r="C251" s="151" t="str">
        <f t="shared" ref="C251:C314" si="8">IF(ISBLANK(E251),IF(ISBLANK(F251),"",F251),E251)</f>
        <v/>
      </c>
      <c r="D251" s="115"/>
      <c r="E251" s="142"/>
      <c r="F251" s="142"/>
      <c r="G251" s="142"/>
      <c r="H251" s="142"/>
      <c r="I251" s="142"/>
      <c r="J251" s="142"/>
      <c r="K251" s="142"/>
      <c r="L251" s="142"/>
      <c r="M251" s="115"/>
    </row>
    <row r="252" spans="1:13" ht="15" outlineLevel="1" thickBot="1">
      <c r="A252" s="363"/>
      <c r="B252" s="365"/>
      <c r="C252" s="151" t="str">
        <f t="shared" si="8"/>
        <v>Ciment</v>
      </c>
      <c r="D252" s="115"/>
      <c r="E252" s="627" t="s">
        <v>878</v>
      </c>
      <c r="F252" s="627"/>
      <c r="G252" s="627"/>
      <c r="H252" s="627"/>
      <c r="I252" s="627"/>
      <c r="J252" s="627"/>
      <c r="K252" s="627"/>
      <c r="L252" s="627"/>
      <c r="M252" s="115"/>
    </row>
    <row r="253" spans="1:13" outlineLevel="2">
      <c r="A253" s="363"/>
      <c r="B253" s="365"/>
      <c r="C253" s="151" t="str">
        <f t="shared" si="8"/>
        <v>%</v>
      </c>
      <c r="D253" s="115"/>
      <c r="E253" s="322" t="s">
        <v>121</v>
      </c>
      <c r="F253" s="323">
        <v>2021</v>
      </c>
      <c r="G253" s="323">
        <v>2025</v>
      </c>
      <c r="H253" s="323">
        <v>2030</v>
      </c>
      <c r="I253" s="323">
        <v>2035</v>
      </c>
      <c r="J253" s="323">
        <v>2040</v>
      </c>
      <c r="K253" s="323">
        <v>2045</v>
      </c>
      <c r="L253" s="324">
        <v>2050</v>
      </c>
      <c r="M253" s="115"/>
    </row>
    <row r="254" spans="1:13" outlineLevel="2">
      <c r="A254" s="363"/>
      <c r="B254" s="365"/>
      <c r="C254" s="151" t="str">
        <f t="shared" si="8"/>
        <v>Charbon</v>
      </c>
      <c r="D254" s="115"/>
      <c r="E254" s="218" t="s">
        <v>185</v>
      </c>
      <c r="F254" s="180">
        <v>0.14000000000000001</v>
      </c>
      <c r="G254" s="181"/>
      <c r="H254" s="181">
        <v>0.04</v>
      </c>
      <c r="I254" s="181"/>
      <c r="J254" s="181"/>
      <c r="K254" s="181"/>
      <c r="L254" s="409">
        <v>0.04</v>
      </c>
      <c r="M254" s="115"/>
    </row>
    <row r="255" spans="1:13" outlineLevel="2">
      <c r="A255" s="363"/>
      <c r="B255" s="365"/>
      <c r="C255" s="151" t="str">
        <f t="shared" si="8"/>
        <v>Coke</v>
      </c>
      <c r="D255" s="115"/>
      <c r="E255" s="218" t="s">
        <v>257</v>
      </c>
      <c r="F255" s="177">
        <v>0</v>
      </c>
      <c r="G255" s="174"/>
      <c r="H255" s="174">
        <v>0</v>
      </c>
      <c r="I255" s="174"/>
      <c r="J255" s="174"/>
      <c r="K255" s="174"/>
      <c r="L255" s="331">
        <v>0</v>
      </c>
      <c r="M255" s="115"/>
    </row>
    <row r="256" spans="1:13" outlineLevel="2">
      <c r="A256" s="363"/>
      <c r="B256" s="365"/>
      <c r="C256" s="151" t="str">
        <f t="shared" si="8"/>
        <v>Produits pétroliers raffinés</v>
      </c>
      <c r="D256" s="115"/>
      <c r="E256" s="218" t="s">
        <v>187</v>
      </c>
      <c r="F256" s="177">
        <v>0.38500000000000001</v>
      </c>
      <c r="G256" s="174"/>
      <c r="H256" s="174">
        <v>0.38500000000000001</v>
      </c>
      <c r="I256" s="174"/>
      <c r="J256" s="174"/>
      <c r="K256" s="174"/>
      <c r="L256" s="331">
        <v>0.33500000000000002</v>
      </c>
      <c r="M256" s="115"/>
    </row>
    <row r="257" spans="1:13" outlineLevel="2">
      <c r="A257" s="363"/>
      <c r="B257" s="365"/>
      <c r="C257" s="151" t="str">
        <f t="shared" si="8"/>
        <v>Gaz de réseau</v>
      </c>
      <c r="D257" s="115"/>
      <c r="E257" s="218" t="s">
        <v>258</v>
      </c>
      <c r="F257" s="177">
        <v>0.02</v>
      </c>
      <c r="G257" s="174"/>
      <c r="H257" s="174">
        <v>0.02</v>
      </c>
      <c r="I257" s="174"/>
      <c r="J257" s="174"/>
      <c r="K257" s="174"/>
      <c r="L257" s="331">
        <v>0.01</v>
      </c>
      <c r="M257" s="115"/>
    </row>
    <row r="258" spans="1:13" outlineLevel="2">
      <c r="A258" s="363"/>
      <c r="B258" s="365"/>
      <c r="C258" s="151" t="str">
        <f t="shared" si="8"/>
        <v>Biomasse solide</v>
      </c>
      <c r="D258" s="115"/>
      <c r="E258" s="218" t="s">
        <v>197</v>
      </c>
      <c r="F258" s="177">
        <v>0.17</v>
      </c>
      <c r="G258" s="174"/>
      <c r="H258" s="174">
        <v>0.17</v>
      </c>
      <c r="I258" s="174"/>
      <c r="J258" s="174"/>
      <c r="K258" s="174"/>
      <c r="L258" s="331">
        <v>0.2</v>
      </c>
      <c r="M258" s="115"/>
    </row>
    <row r="259" spans="1:13" outlineLevel="2">
      <c r="A259" s="363"/>
      <c r="B259" s="365"/>
      <c r="C259" s="151" t="str">
        <f t="shared" si="8"/>
        <v>Déchets</v>
      </c>
      <c r="D259" s="115"/>
      <c r="E259" s="218" t="s">
        <v>24</v>
      </c>
      <c r="F259" s="177">
        <v>0.255</v>
      </c>
      <c r="G259" s="174"/>
      <c r="H259" s="174">
        <v>0.24</v>
      </c>
      <c r="I259" s="174"/>
      <c r="J259" s="174"/>
      <c r="K259" s="174"/>
      <c r="L259" s="331">
        <v>0.27</v>
      </c>
      <c r="M259" s="115"/>
    </row>
    <row r="260" spans="1:13" outlineLevel="2">
      <c r="A260" s="363"/>
      <c r="B260" s="365"/>
      <c r="C260" s="151" t="str">
        <f t="shared" si="8"/>
        <v>Biocarburants et gaz renouvelable</v>
      </c>
      <c r="D260" s="115"/>
      <c r="E260" s="218" t="s">
        <v>259</v>
      </c>
      <c r="F260" s="177">
        <v>0</v>
      </c>
      <c r="G260" s="174"/>
      <c r="H260" s="174">
        <v>0</v>
      </c>
      <c r="I260" s="174"/>
      <c r="J260" s="174"/>
      <c r="K260" s="174"/>
      <c r="L260" s="331">
        <v>0</v>
      </c>
      <c r="M260" s="115"/>
    </row>
    <row r="261" spans="1:13" outlineLevel="2">
      <c r="A261" s="363"/>
      <c r="B261" s="365"/>
      <c r="C261" s="151" t="str">
        <f t="shared" si="8"/>
        <v>Chaleur de l'environnement</v>
      </c>
      <c r="D261" s="115"/>
      <c r="E261" s="218" t="s">
        <v>200</v>
      </c>
      <c r="F261" s="177">
        <v>0</v>
      </c>
      <c r="G261" s="174"/>
      <c r="H261" s="174">
        <v>0</v>
      </c>
      <c r="I261" s="174"/>
      <c r="J261" s="174"/>
      <c r="K261" s="174"/>
      <c r="L261" s="331">
        <v>0</v>
      </c>
      <c r="M261" s="115"/>
    </row>
    <row r="262" spans="1:13" outlineLevel="2">
      <c r="A262" s="363"/>
      <c r="B262" s="365"/>
      <c r="C262" s="151" t="str">
        <f t="shared" si="8"/>
        <v>Electricité</v>
      </c>
      <c r="D262" s="115"/>
      <c r="E262" s="218" t="s">
        <v>260</v>
      </c>
      <c r="F262" s="177">
        <v>0.03</v>
      </c>
      <c r="G262" s="174"/>
      <c r="H262" s="174">
        <v>0.14499999999999999</v>
      </c>
      <c r="I262" s="174"/>
      <c r="J262" s="174"/>
      <c r="K262" s="174"/>
      <c r="L262" s="331">
        <v>0.14499999999999999</v>
      </c>
      <c r="M262" s="115"/>
    </row>
    <row r="263" spans="1:13" outlineLevel="2">
      <c r="A263" s="363"/>
      <c r="B263" s="365"/>
      <c r="C263" s="151" t="str">
        <f t="shared" si="8"/>
        <v>Chaleur vendue</v>
      </c>
      <c r="D263" s="115"/>
      <c r="E263" s="218" t="s">
        <v>195</v>
      </c>
      <c r="F263" s="177">
        <v>0</v>
      </c>
      <c r="G263" s="174"/>
      <c r="H263" s="174">
        <v>0</v>
      </c>
      <c r="I263" s="174"/>
      <c r="J263" s="174"/>
      <c r="K263" s="174"/>
      <c r="L263" s="331">
        <v>0</v>
      </c>
      <c r="M263" s="115"/>
    </row>
    <row r="264" spans="1:13" ht="15" outlineLevel="2" thickBot="1">
      <c r="A264" s="363"/>
      <c r="B264" s="365"/>
      <c r="C264" s="151" t="str">
        <f t="shared" si="8"/>
        <v>Hydrogène</v>
      </c>
      <c r="D264" s="115"/>
      <c r="E264" s="222" t="s">
        <v>196</v>
      </c>
      <c r="F264" s="333">
        <v>0</v>
      </c>
      <c r="G264" s="334"/>
      <c r="H264" s="334">
        <v>0</v>
      </c>
      <c r="I264" s="334"/>
      <c r="J264" s="334"/>
      <c r="K264" s="334"/>
      <c r="L264" s="335">
        <v>0</v>
      </c>
      <c r="M264" s="115"/>
    </row>
    <row r="265" spans="1:13" outlineLevel="2">
      <c r="A265" s="363"/>
      <c r="B265" s="365"/>
      <c r="C265" s="151" t="str">
        <f t="shared" si="8"/>
        <v/>
      </c>
      <c r="D265" s="115"/>
      <c r="E265" s="610"/>
      <c r="F265" s="610"/>
      <c r="G265" s="610"/>
      <c r="H265" s="610"/>
      <c r="I265" s="610"/>
      <c r="J265" s="610"/>
      <c r="K265" s="610"/>
      <c r="L265" s="610"/>
      <c r="M265" s="115"/>
    </row>
    <row r="266" spans="1:13" outlineLevel="1">
      <c r="A266" s="363"/>
      <c r="B266" s="365"/>
      <c r="C266" s="151" t="str">
        <f t="shared" si="8"/>
        <v/>
      </c>
      <c r="D266" s="115"/>
      <c r="E266" s="142"/>
      <c r="F266" s="142"/>
      <c r="G266" s="142"/>
      <c r="H266" s="142"/>
      <c r="I266" s="142"/>
      <c r="J266" s="142"/>
      <c r="K266" s="142"/>
      <c r="L266" s="142"/>
      <c r="M266" s="115"/>
    </row>
    <row r="267" spans="1:13" ht="15" outlineLevel="1" thickBot="1">
      <c r="A267" s="363"/>
      <c r="B267" s="365"/>
      <c r="C267" s="151" t="str">
        <f t="shared" si="8"/>
        <v>Verre</v>
      </c>
      <c r="D267" s="115"/>
      <c r="E267" s="627" t="s">
        <v>131</v>
      </c>
      <c r="F267" s="627"/>
      <c r="G267" s="627"/>
      <c r="H267" s="627"/>
      <c r="I267" s="627"/>
      <c r="J267" s="627"/>
      <c r="K267" s="627"/>
      <c r="L267" s="627"/>
      <c r="M267" s="115"/>
    </row>
    <row r="268" spans="1:13" outlineLevel="2">
      <c r="A268" s="363"/>
      <c r="B268" s="365"/>
      <c r="C268" s="151" t="str">
        <f t="shared" si="8"/>
        <v>%</v>
      </c>
      <c r="D268" s="115"/>
      <c r="E268" s="322" t="s">
        <v>121</v>
      </c>
      <c r="F268" s="323">
        <v>2021</v>
      </c>
      <c r="G268" s="323">
        <v>2025</v>
      </c>
      <c r="H268" s="323">
        <v>2030</v>
      </c>
      <c r="I268" s="323">
        <v>2035</v>
      </c>
      <c r="J268" s="323">
        <v>2040</v>
      </c>
      <c r="K268" s="323">
        <v>2045</v>
      </c>
      <c r="L268" s="324">
        <v>2050</v>
      </c>
      <c r="M268" s="115"/>
    </row>
    <row r="269" spans="1:13" outlineLevel="2">
      <c r="A269" s="363"/>
      <c r="B269" s="365"/>
      <c r="C269" s="151" t="str">
        <f t="shared" si="8"/>
        <v>Charbon</v>
      </c>
      <c r="D269" s="115"/>
      <c r="E269" s="218" t="s">
        <v>185</v>
      </c>
      <c r="F269" s="180">
        <v>0</v>
      </c>
      <c r="G269" s="181"/>
      <c r="H269" s="181">
        <v>0</v>
      </c>
      <c r="I269" s="181"/>
      <c r="J269" s="181"/>
      <c r="K269" s="181"/>
      <c r="L269" s="409">
        <v>0</v>
      </c>
      <c r="M269" s="115"/>
    </row>
    <row r="270" spans="1:13" outlineLevel="2">
      <c r="A270" s="363"/>
      <c r="B270" s="365"/>
      <c r="C270" s="151" t="str">
        <f t="shared" si="8"/>
        <v>Coke</v>
      </c>
      <c r="D270" s="115"/>
      <c r="E270" s="218" t="s">
        <v>257</v>
      </c>
      <c r="F270" s="177">
        <v>0</v>
      </c>
      <c r="G270" s="174"/>
      <c r="H270" s="174">
        <v>0</v>
      </c>
      <c r="I270" s="174"/>
      <c r="J270" s="174"/>
      <c r="K270" s="174"/>
      <c r="L270" s="331">
        <v>0</v>
      </c>
      <c r="M270" s="115"/>
    </row>
    <row r="271" spans="1:13" outlineLevel="2">
      <c r="A271" s="363"/>
      <c r="B271" s="365"/>
      <c r="C271" s="151" t="str">
        <f t="shared" si="8"/>
        <v>Produits pétroliers raffinés</v>
      </c>
      <c r="D271" s="115"/>
      <c r="E271" s="218" t="s">
        <v>187</v>
      </c>
      <c r="F271" s="177">
        <v>0.09</v>
      </c>
      <c r="G271" s="174"/>
      <c r="H271" s="174">
        <v>5.5E-2</v>
      </c>
      <c r="I271" s="174"/>
      <c r="J271" s="174"/>
      <c r="K271" s="174"/>
      <c r="L271" s="331">
        <v>0.02</v>
      </c>
      <c r="M271" s="115"/>
    </row>
    <row r="272" spans="1:13" outlineLevel="2">
      <c r="A272" s="363"/>
      <c r="B272" s="365"/>
      <c r="C272" s="151" t="str">
        <f t="shared" si="8"/>
        <v>Gaz de réseau</v>
      </c>
      <c r="D272" s="115"/>
      <c r="E272" s="218" t="s">
        <v>258</v>
      </c>
      <c r="F272" s="177">
        <v>0.67</v>
      </c>
      <c r="G272" s="174"/>
      <c r="H272" s="174">
        <v>0.67</v>
      </c>
      <c r="I272" s="174"/>
      <c r="J272" s="174"/>
      <c r="K272" s="174"/>
      <c r="L272" s="331">
        <v>0.67</v>
      </c>
      <c r="M272" s="115"/>
    </row>
    <row r="273" spans="1:13" outlineLevel="2">
      <c r="A273" s="363"/>
      <c r="B273" s="365"/>
      <c r="C273" s="151" t="str">
        <f t="shared" si="8"/>
        <v>Biomasse solide</v>
      </c>
      <c r="D273" s="115"/>
      <c r="E273" s="218" t="s">
        <v>197</v>
      </c>
      <c r="F273" s="177">
        <v>0</v>
      </c>
      <c r="G273" s="174"/>
      <c r="H273" s="174">
        <v>0</v>
      </c>
      <c r="I273" s="174"/>
      <c r="J273" s="174"/>
      <c r="K273" s="174"/>
      <c r="L273" s="331">
        <v>0</v>
      </c>
      <c r="M273" s="115"/>
    </row>
    <row r="274" spans="1:13" outlineLevel="2">
      <c r="A274" s="363"/>
      <c r="B274" s="365"/>
      <c r="C274" s="151" t="str">
        <f t="shared" si="8"/>
        <v>Déchets</v>
      </c>
      <c r="D274" s="115"/>
      <c r="E274" s="218" t="s">
        <v>24</v>
      </c>
      <c r="F274" s="177">
        <v>0</v>
      </c>
      <c r="G274" s="174"/>
      <c r="H274" s="174">
        <v>0</v>
      </c>
      <c r="I274" s="174"/>
      <c r="J274" s="174"/>
      <c r="K274" s="174"/>
      <c r="L274" s="331">
        <v>0</v>
      </c>
      <c r="M274" s="115"/>
    </row>
    <row r="275" spans="1:13" outlineLevel="2">
      <c r="A275" s="363"/>
      <c r="B275" s="365"/>
      <c r="C275" s="151" t="str">
        <f t="shared" si="8"/>
        <v>Biocarburants et gaz renouvelable</v>
      </c>
      <c r="D275" s="115"/>
      <c r="E275" s="218" t="s">
        <v>259</v>
      </c>
      <c r="F275" s="177">
        <v>0</v>
      </c>
      <c r="G275" s="174"/>
      <c r="H275" s="174">
        <v>0</v>
      </c>
      <c r="I275" s="174"/>
      <c r="J275" s="174"/>
      <c r="K275" s="174"/>
      <c r="L275" s="331">
        <v>0</v>
      </c>
      <c r="M275" s="115"/>
    </row>
    <row r="276" spans="1:13" outlineLevel="2">
      <c r="A276" s="363"/>
      <c r="B276" s="365"/>
      <c r="C276" s="151" t="str">
        <f t="shared" si="8"/>
        <v>Chaleur de l'environnement</v>
      </c>
      <c r="D276" s="115"/>
      <c r="E276" s="218" t="s">
        <v>200</v>
      </c>
      <c r="F276" s="177">
        <v>0</v>
      </c>
      <c r="G276" s="174"/>
      <c r="H276" s="174">
        <v>0</v>
      </c>
      <c r="I276" s="174"/>
      <c r="J276" s="174"/>
      <c r="K276" s="174"/>
      <c r="L276" s="331">
        <v>0</v>
      </c>
      <c r="M276" s="115"/>
    </row>
    <row r="277" spans="1:13" outlineLevel="2">
      <c r="A277" s="363"/>
      <c r="B277" s="365"/>
      <c r="C277" s="151" t="str">
        <f t="shared" si="8"/>
        <v>Electricité</v>
      </c>
      <c r="D277" s="115"/>
      <c r="E277" s="218" t="s">
        <v>260</v>
      </c>
      <c r="F277" s="177">
        <v>0.24</v>
      </c>
      <c r="G277" s="174"/>
      <c r="H277" s="174">
        <v>0.27500000000000002</v>
      </c>
      <c r="I277" s="174"/>
      <c r="J277" s="174"/>
      <c r="K277" s="174"/>
      <c r="L277" s="331">
        <v>0.31</v>
      </c>
      <c r="M277" s="115"/>
    </row>
    <row r="278" spans="1:13" outlineLevel="2">
      <c r="A278" s="363"/>
      <c r="B278" s="365"/>
      <c r="C278" s="151" t="str">
        <f t="shared" si="8"/>
        <v>Chaleur vendue</v>
      </c>
      <c r="D278" s="115"/>
      <c r="E278" s="218" t="s">
        <v>195</v>
      </c>
      <c r="F278" s="177">
        <v>0</v>
      </c>
      <c r="G278" s="174"/>
      <c r="H278" s="174">
        <v>0</v>
      </c>
      <c r="I278" s="174"/>
      <c r="J278" s="174"/>
      <c r="K278" s="174"/>
      <c r="L278" s="331">
        <v>0</v>
      </c>
      <c r="M278" s="115"/>
    </row>
    <row r="279" spans="1:13" ht="15" outlineLevel="2" thickBot="1">
      <c r="A279" s="363"/>
      <c r="B279" s="365"/>
      <c r="C279" s="151" t="str">
        <f t="shared" si="8"/>
        <v>Hydrogène</v>
      </c>
      <c r="D279" s="115"/>
      <c r="E279" s="222" t="s">
        <v>196</v>
      </c>
      <c r="F279" s="333">
        <v>0</v>
      </c>
      <c r="G279" s="334"/>
      <c r="H279" s="334">
        <v>0</v>
      </c>
      <c r="I279" s="334"/>
      <c r="J279" s="334"/>
      <c r="K279" s="334"/>
      <c r="L279" s="335">
        <v>0</v>
      </c>
      <c r="M279" s="115"/>
    </row>
    <row r="280" spans="1:13" outlineLevel="2">
      <c r="A280" s="363"/>
      <c r="B280" s="365"/>
      <c r="C280" s="151" t="str">
        <f t="shared" si="8"/>
        <v/>
      </c>
      <c r="D280" s="115"/>
      <c r="E280" s="610"/>
      <c r="F280" s="610"/>
      <c r="G280" s="610"/>
      <c r="H280" s="610"/>
      <c r="I280" s="610"/>
      <c r="J280" s="610"/>
      <c r="K280" s="610"/>
      <c r="L280" s="610"/>
      <c r="M280" s="115"/>
    </row>
    <row r="281" spans="1:13" outlineLevel="1">
      <c r="A281" s="363"/>
      <c r="B281" s="365"/>
      <c r="C281" s="151" t="str">
        <f t="shared" si="8"/>
        <v/>
      </c>
      <c r="D281" s="115"/>
      <c r="E281" s="142"/>
      <c r="F281" s="142"/>
      <c r="G281" s="142"/>
      <c r="H281" s="142"/>
      <c r="I281" s="142"/>
      <c r="J281" s="142"/>
      <c r="K281" s="142"/>
      <c r="L281" s="142"/>
      <c r="M281" s="115"/>
    </row>
    <row r="282" spans="1:13" ht="15" outlineLevel="1" thickBot="1">
      <c r="A282" s="363"/>
      <c r="B282" s="365"/>
      <c r="C282" s="151" t="str">
        <f t="shared" si="8"/>
        <v>Autres non-métalliques</v>
      </c>
      <c r="D282" s="115"/>
      <c r="E282" s="627" t="s">
        <v>879</v>
      </c>
      <c r="F282" s="627"/>
      <c r="G282" s="627"/>
      <c r="H282" s="627"/>
      <c r="I282" s="627"/>
      <c r="J282" s="627"/>
      <c r="K282" s="627"/>
      <c r="L282" s="627"/>
      <c r="M282" s="115"/>
    </row>
    <row r="283" spans="1:13" outlineLevel="2">
      <c r="A283" s="363"/>
      <c r="B283" s="365"/>
      <c r="C283" s="151" t="str">
        <f t="shared" si="8"/>
        <v>%</v>
      </c>
      <c r="D283" s="115"/>
      <c r="E283" s="322" t="s">
        <v>121</v>
      </c>
      <c r="F283" s="323">
        <v>2021</v>
      </c>
      <c r="G283" s="323">
        <v>2025</v>
      </c>
      <c r="H283" s="323">
        <v>2030</v>
      </c>
      <c r="I283" s="323">
        <v>2035</v>
      </c>
      <c r="J283" s="323">
        <v>2040</v>
      </c>
      <c r="K283" s="323">
        <v>2045</v>
      </c>
      <c r="L283" s="324">
        <v>2050</v>
      </c>
      <c r="M283" s="115"/>
    </row>
    <row r="284" spans="1:13" outlineLevel="2">
      <c r="A284" s="363"/>
      <c r="B284" s="365"/>
      <c r="C284" s="151" t="str">
        <f t="shared" si="8"/>
        <v>Charbon</v>
      </c>
      <c r="D284" s="115"/>
      <c r="E284" s="218" t="s">
        <v>185</v>
      </c>
      <c r="F284" s="180">
        <v>5.8999999999999997E-2</v>
      </c>
      <c r="G284" s="181"/>
      <c r="H284" s="181">
        <v>2.8000000000000001E-2</v>
      </c>
      <c r="I284" s="181"/>
      <c r="J284" s="181"/>
      <c r="K284" s="181"/>
      <c r="L284" s="409">
        <v>0</v>
      </c>
      <c r="M284" s="115"/>
    </row>
    <row r="285" spans="1:13" outlineLevel="2">
      <c r="A285" s="363"/>
      <c r="B285" s="365"/>
      <c r="C285" s="151" t="str">
        <f t="shared" si="8"/>
        <v>Coke</v>
      </c>
      <c r="D285" s="115"/>
      <c r="E285" s="218" t="s">
        <v>257</v>
      </c>
      <c r="F285" s="177">
        <v>2.4E-2</v>
      </c>
      <c r="G285" s="174"/>
      <c r="H285" s="174">
        <v>0</v>
      </c>
      <c r="I285" s="174"/>
      <c r="J285" s="174"/>
      <c r="K285" s="174"/>
      <c r="L285" s="331">
        <v>0</v>
      </c>
      <c r="M285" s="115"/>
    </row>
    <row r="286" spans="1:13" outlineLevel="2">
      <c r="A286" s="363"/>
      <c r="B286" s="365"/>
      <c r="C286" s="151" t="str">
        <f t="shared" si="8"/>
        <v>Produits pétroliers raffinés</v>
      </c>
      <c r="D286" s="115"/>
      <c r="E286" s="218" t="s">
        <v>187</v>
      </c>
      <c r="F286" s="177">
        <v>0.128</v>
      </c>
      <c r="G286" s="174"/>
      <c r="H286" s="174">
        <v>1.4999999999999999E-2</v>
      </c>
      <c r="I286" s="174"/>
      <c r="J286" s="174"/>
      <c r="K286" s="174"/>
      <c r="L286" s="331">
        <v>0.01</v>
      </c>
      <c r="M286" s="115"/>
    </row>
    <row r="287" spans="1:13" outlineLevel="2">
      <c r="A287" s="363"/>
      <c r="B287" s="365"/>
      <c r="C287" s="151" t="str">
        <f t="shared" si="8"/>
        <v>Gaz de réseau</v>
      </c>
      <c r="D287" s="115"/>
      <c r="E287" s="218" t="s">
        <v>258</v>
      </c>
      <c r="F287" s="177">
        <v>0.36899999999999999</v>
      </c>
      <c r="G287" s="174"/>
      <c r="H287" s="174">
        <v>0.438</v>
      </c>
      <c r="I287" s="174"/>
      <c r="J287" s="174"/>
      <c r="K287" s="174"/>
      <c r="L287" s="331">
        <v>0.41199999999999998</v>
      </c>
      <c r="M287" s="115"/>
    </row>
    <row r="288" spans="1:13" outlineLevel="2">
      <c r="A288" s="363"/>
      <c r="B288" s="365"/>
      <c r="C288" s="151" t="str">
        <f t="shared" si="8"/>
        <v>Biomasse solide</v>
      </c>
      <c r="D288" s="115"/>
      <c r="E288" s="218" t="s">
        <v>197</v>
      </c>
      <c r="F288" s="177">
        <v>0.187</v>
      </c>
      <c r="G288" s="174"/>
      <c r="H288" s="174">
        <v>0.187</v>
      </c>
      <c r="I288" s="174"/>
      <c r="J288" s="174"/>
      <c r="K288" s="174"/>
      <c r="L288" s="331">
        <v>0.187</v>
      </c>
      <c r="M288" s="115"/>
    </row>
    <row r="289" spans="1:13" outlineLevel="2">
      <c r="A289" s="363"/>
      <c r="B289" s="365"/>
      <c r="C289" s="151" t="str">
        <f t="shared" si="8"/>
        <v>Déchets</v>
      </c>
      <c r="D289" s="115"/>
      <c r="E289" s="218" t="s">
        <v>24</v>
      </c>
      <c r="F289" s="177">
        <v>0</v>
      </c>
      <c r="G289" s="174"/>
      <c r="H289" s="174">
        <v>0</v>
      </c>
      <c r="I289" s="174"/>
      <c r="J289" s="174"/>
      <c r="K289" s="174"/>
      <c r="L289" s="331">
        <v>0</v>
      </c>
      <c r="M289" s="115"/>
    </row>
    <row r="290" spans="1:13" outlineLevel="2">
      <c r="A290" s="363"/>
      <c r="B290" s="365"/>
      <c r="C290" s="151" t="str">
        <f t="shared" si="8"/>
        <v>Biocarburants et gaz renouvelable</v>
      </c>
      <c r="D290" s="115"/>
      <c r="E290" s="218" t="s">
        <v>259</v>
      </c>
      <c r="F290" s="177">
        <v>0</v>
      </c>
      <c r="G290" s="174"/>
      <c r="H290" s="174">
        <v>0</v>
      </c>
      <c r="I290" s="174"/>
      <c r="J290" s="174"/>
      <c r="K290" s="174"/>
      <c r="L290" s="331">
        <v>0</v>
      </c>
      <c r="M290" s="115"/>
    </row>
    <row r="291" spans="1:13" outlineLevel="2">
      <c r="A291" s="363"/>
      <c r="B291" s="365"/>
      <c r="C291" s="151" t="str">
        <f t="shared" si="8"/>
        <v>Chaleur de l'environnement</v>
      </c>
      <c r="D291" s="115"/>
      <c r="E291" s="218" t="s">
        <v>200</v>
      </c>
      <c r="F291" s="177">
        <v>0</v>
      </c>
      <c r="G291" s="174"/>
      <c r="H291" s="174">
        <v>0</v>
      </c>
      <c r="I291" s="174"/>
      <c r="J291" s="174"/>
      <c r="K291" s="174"/>
      <c r="L291" s="331">
        <v>0</v>
      </c>
      <c r="M291" s="115"/>
    </row>
    <row r="292" spans="1:13" outlineLevel="2">
      <c r="A292" s="363"/>
      <c r="B292" s="365"/>
      <c r="C292" s="151" t="str">
        <f t="shared" si="8"/>
        <v>Electricité</v>
      </c>
      <c r="D292" s="115"/>
      <c r="E292" s="218" t="s">
        <v>260</v>
      </c>
      <c r="F292" s="177">
        <v>0.223</v>
      </c>
      <c r="G292" s="174"/>
      <c r="H292" s="174">
        <v>0.33100000000000002</v>
      </c>
      <c r="I292" s="174"/>
      <c r="J292" s="174"/>
      <c r="K292" s="174"/>
      <c r="L292" s="331">
        <v>0.39100000000000001</v>
      </c>
      <c r="M292" s="115"/>
    </row>
    <row r="293" spans="1:13" outlineLevel="2">
      <c r="A293" s="363"/>
      <c r="B293" s="365"/>
      <c r="C293" s="151" t="str">
        <f t="shared" si="8"/>
        <v>Chaleur vendue</v>
      </c>
      <c r="D293" s="115"/>
      <c r="E293" s="218" t="s">
        <v>195</v>
      </c>
      <c r="F293" s="177">
        <v>0.01</v>
      </c>
      <c r="G293" s="174"/>
      <c r="H293" s="174">
        <v>0</v>
      </c>
      <c r="I293" s="174"/>
      <c r="J293" s="174"/>
      <c r="K293" s="174"/>
      <c r="L293" s="331">
        <v>0</v>
      </c>
      <c r="M293" s="115"/>
    </row>
    <row r="294" spans="1:13" ht="15" outlineLevel="2" thickBot="1">
      <c r="A294" s="363"/>
      <c r="B294" s="365"/>
      <c r="C294" s="151" t="str">
        <f t="shared" si="8"/>
        <v>Hydrogène</v>
      </c>
      <c r="D294" s="115"/>
      <c r="E294" s="222" t="s">
        <v>196</v>
      </c>
      <c r="F294" s="333">
        <v>0</v>
      </c>
      <c r="G294" s="334"/>
      <c r="H294" s="334">
        <v>0</v>
      </c>
      <c r="I294" s="334"/>
      <c r="J294" s="334"/>
      <c r="K294" s="334"/>
      <c r="L294" s="335">
        <v>0</v>
      </c>
      <c r="M294" s="115"/>
    </row>
    <row r="295" spans="1:13" outlineLevel="2">
      <c r="A295" s="363"/>
      <c r="B295" s="365"/>
      <c r="C295" s="151" t="str">
        <f t="shared" si="8"/>
        <v/>
      </c>
      <c r="D295" s="115"/>
      <c r="E295" s="610"/>
      <c r="F295" s="610"/>
      <c r="G295" s="610"/>
      <c r="H295" s="610"/>
      <c r="I295" s="610"/>
      <c r="J295" s="610"/>
      <c r="K295" s="610"/>
      <c r="L295" s="610"/>
      <c r="M295" s="115"/>
    </row>
    <row r="296" spans="1:13" outlineLevel="1">
      <c r="A296" s="363"/>
      <c r="B296" s="365"/>
      <c r="C296" s="151" t="str">
        <f t="shared" si="8"/>
        <v/>
      </c>
      <c r="D296" s="115"/>
      <c r="E296" s="142"/>
      <c r="F296" s="142"/>
      <c r="G296" s="142"/>
      <c r="H296" s="142"/>
      <c r="I296" s="142"/>
      <c r="J296" s="142"/>
      <c r="K296" s="142"/>
      <c r="L296" s="142"/>
      <c r="M296" s="115"/>
    </row>
    <row r="297" spans="1:13" ht="15" outlineLevel="1" thickBot="1">
      <c r="A297" s="363"/>
      <c r="B297" s="365"/>
      <c r="C297" s="151" t="str">
        <f t="shared" si="8"/>
        <v>Dont sucre</v>
      </c>
      <c r="D297" s="115"/>
      <c r="E297" s="627" t="s">
        <v>267</v>
      </c>
      <c r="F297" s="627"/>
      <c r="G297" s="627"/>
      <c r="H297" s="627"/>
      <c r="I297" s="627"/>
      <c r="J297" s="627"/>
      <c r="K297" s="627"/>
      <c r="L297" s="627"/>
      <c r="M297" s="115"/>
    </row>
    <row r="298" spans="1:13" outlineLevel="2">
      <c r="A298" s="363"/>
      <c r="B298" s="365"/>
      <c r="C298" s="151" t="str">
        <f t="shared" si="8"/>
        <v>%</v>
      </c>
      <c r="D298" s="115"/>
      <c r="E298" s="322" t="s">
        <v>121</v>
      </c>
      <c r="F298" s="323">
        <v>2021</v>
      </c>
      <c r="G298" s="323">
        <v>2025</v>
      </c>
      <c r="H298" s="323">
        <v>2030</v>
      </c>
      <c r="I298" s="323">
        <v>2035</v>
      </c>
      <c r="J298" s="323">
        <v>2040</v>
      </c>
      <c r="K298" s="323">
        <v>2045</v>
      </c>
      <c r="L298" s="324">
        <v>2050</v>
      </c>
      <c r="M298" s="115"/>
    </row>
    <row r="299" spans="1:13" outlineLevel="2">
      <c r="A299" s="363"/>
      <c r="B299" s="365"/>
      <c r="C299" s="151" t="str">
        <f t="shared" si="8"/>
        <v>Charbon</v>
      </c>
      <c r="D299" s="115"/>
      <c r="E299" s="218" t="s">
        <v>185</v>
      </c>
      <c r="F299" s="180">
        <v>0.1</v>
      </c>
      <c r="G299" s="181"/>
      <c r="H299" s="181">
        <v>4.2999999999999997E-2</v>
      </c>
      <c r="I299" s="181"/>
      <c r="J299" s="181"/>
      <c r="K299" s="181"/>
      <c r="L299" s="409">
        <v>0</v>
      </c>
      <c r="M299" s="115"/>
    </row>
    <row r="300" spans="1:13" outlineLevel="2">
      <c r="A300" s="363"/>
      <c r="B300" s="365"/>
      <c r="C300" s="151" t="str">
        <f t="shared" si="8"/>
        <v>Coke</v>
      </c>
      <c r="D300" s="115"/>
      <c r="E300" s="218" t="s">
        <v>257</v>
      </c>
      <c r="F300" s="177">
        <v>0</v>
      </c>
      <c r="G300" s="174"/>
      <c r="H300" s="174">
        <v>0</v>
      </c>
      <c r="I300" s="174"/>
      <c r="J300" s="174"/>
      <c r="K300" s="174"/>
      <c r="L300" s="331">
        <v>0</v>
      </c>
      <c r="M300" s="115"/>
    </row>
    <row r="301" spans="1:13" outlineLevel="2">
      <c r="A301" s="363"/>
      <c r="B301" s="365"/>
      <c r="C301" s="151" t="str">
        <f t="shared" si="8"/>
        <v>Produits pétroliers raffinés</v>
      </c>
      <c r="D301" s="115"/>
      <c r="E301" s="218" t="s">
        <v>187</v>
      </c>
      <c r="F301" s="177">
        <v>0</v>
      </c>
      <c r="G301" s="174"/>
      <c r="H301" s="174">
        <v>0</v>
      </c>
      <c r="I301" s="174"/>
      <c r="J301" s="174"/>
      <c r="K301" s="174"/>
      <c r="L301" s="331">
        <v>0</v>
      </c>
      <c r="M301" s="115"/>
    </row>
    <row r="302" spans="1:13" outlineLevel="2">
      <c r="A302" s="363"/>
      <c r="B302" s="365"/>
      <c r="C302" s="151" t="str">
        <f t="shared" si="8"/>
        <v>Gaz de réseau</v>
      </c>
      <c r="D302" s="115"/>
      <c r="E302" s="218" t="s">
        <v>258</v>
      </c>
      <c r="F302" s="177">
        <v>0.7</v>
      </c>
      <c r="G302" s="174"/>
      <c r="H302" s="174">
        <v>0.69599999999999995</v>
      </c>
      <c r="I302" s="174"/>
      <c r="J302" s="174"/>
      <c r="K302" s="174"/>
      <c r="L302" s="331">
        <v>0.746</v>
      </c>
      <c r="M302" s="115"/>
    </row>
    <row r="303" spans="1:13" outlineLevel="2">
      <c r="A303" s="363"/>
      <c r="B303" s="365"/>
      <c r="C303" s="151" t="str">
        <f t="shared" si="8"/>
        <v>Biomasse solide</v>
      </c>
      <c r="D303" s="115"/>
      <c r="E303" s="218" t="s">
        <v>197</v>
      </c>
      <c r="F303" s="177">
        <v>0.1</v>
      </c>
      <c r="G303" s="174"/>
      <c r="H303" s="174">
        <v>0.11600000000000001</v>
      </c>
      <c r="I303" s="174"/>
      <c r="J303" s="174"/>
      <c r="K303" s="174"/>
      <c r="L303" s="331">
        <v>0.11600000000000001</v>
      </c>
      <c r="M303" s="115"/>
    </row>
    <row r="304" spans="1:13" outlineLevel="2">
      <c r="A304" s="363"/>
      <c r="B304" s="365"/>
      <c r="C304" s="151" t="str">
        <f t="shared" si="8"/>
        <v>Déchets</v>
      </c>
      <c r="D304" s="115"/>
      <c r="E304" s="218" t="s">
        <v>24</v>
      </c>
      <c r="F304" s="177">
        <v>0</v>
      </c>
      <c r="G304" s="174"/>
      <c r="H304" s="174">
        <v>0</v>
      </c>
      <c r="I304" s="174"/>
      <c r="J304" s="174"/>
      <c r="K304" s="174"/>
      <c r="L304" s="331">
        <v>0</v>
      </c>
      <c r="M304" s="115"/>
    </row>
    <row r="305" spans="1:13" outlineLevel="2">
      <c r="A305" s="363"/>
      <c r="B305" s="365"/>
      <c r="C305" s="151" t="str">
        <f t="shared" si="8"/>
        <v>Biocarburants et gaz renouvelable</v>
      </c>
      <c r="D305" s="115"/>
      <c r="E305" s="218" t="s">
        <v>259</v>
      </c>
      <c r="F305" s="177">
        <v>0</v>
      </c>
      <c r="G305" s="174"/>
      <c r="H305" s="174">
        <v>0</v>
      </c>
      <c r="I305" s="174"/>
      <c r="J305" s="174"/>
      <c r="K305" s="174"/>
      <c r="L305" s="331">
        <v>0</v>
      </c>
      <c r="M305" s="115"/>
    </row>
    <row r="306" spans="1:13" outlineLevel="2">
      <c r="A306" s="363"/>
      <c r="B306" s="365"/>
      <c r="C306" s="151" t="str">
        <f t="shared" si="8"/>
        <v>Chaleur de l'environnement</v>
      </c>
      <c r="D306" s="115"/>
      <c r="E306" s="218" t="s">
        <v>200</v>
      </c>
      <c r="F306" s="177">
        <v>0</v>
      </c>
      <c r="G306" s="174"/>
      <c r="H306" s="174">
        <v>0</v>
      </c>
      <c r="I306" s="174"/>
      <c r="J306" s="174"/>
      <c r="K306" s="174"/>
      <c r="L306" s="331">
        <v>0</v>
      </c>
      <c r="M306" s="115"/>
    </row>
    <row r="307" spans="1:13" outlineLevel="2">
      <c r="A307" s="363"/>
      <c r="B307" s="365"/>
      <c r="C307" s="151" t="str">
        <f t="shared" si="8"/>
        <v>Electricité</v>
      </c>
      <c r="D307" s="115"/>
      <c r="E307" s="218" t="s">
        <v>260</v>
      </c>
      <c r="F307" s="177">
        <v>0.1</v>
      </c>
      <c r="G307" s="174"/>
      <c r="H307" s="174">
        <v>0.122</v>
      </c>
      <c r="I307" s="174"/>
      <c r="J307" s="174"/>
      <c r="K307" s="174"/>
      <c r="L307" s="331">
        <v>0.128</v>
      </c>
      <c r="M307" s="115"/>
    </row>
    <row r="308" spans="1:13" outlineLevel="2">
      <c r="A308" s="363"/>
      <c r="B308" s="365"/>
      <c r="C308" s="151" t="str">
        <f t="shared" si="8"/>
        <v>Chaleur vendue</v>
      </c>
      <c r="D308" s="115"/>
      <c r="E308" s="218" t="s">
        <v>195</v>
      </c>
      <c r="F308" s="177">
        <v>0</v>
      </c>
      <c r="G308" s="174"/>
      <c r="H308" s="174">
        <v>2.3E-2</v>
      </c>
      <c r="I308" s="174"/>
      <c r="J308" s="174"/>
      <c r="K308" s="174"/>
      <c r="L308" s="331">
        <v>0.01</v>
      </c>
      <c r="M308" s="115"/>
    </row>
    <row r="309" spans="1:13" ht="15" outlineLevel="2" thickBot="1">
      <c r="A309" s="363"/>
      <c r="B309" s="365"/>
      <c r="C309" s="151" t="str">
        <f t="shared" si="8"/>
        <v>Hydrogène</v>
      </c>
      <c r="D309" s="115"/>
      <c r="E309" s="222" t="s">
        <v>196</v>
      </c>
      <c r="F309" s="333">
        <v>0</v>
      </c>
      <c r="G309" s="334"/>
      <c r="H309" s="334">
        <v>0</v>
      </c>
      <c r="I309" s="334"/>
      <c r="J309" s="334"/>
      <c r="K309" s="334"/>
      <c r="L309" s="335">
        <v>0</v>
      </c>
      <c r="M309" s="115"/>
    </row>
    <row r="310" spans="1:13" outlineLevel="2">
      <c r="A310" s="363"/>
      <c r="B310" s="365"/>
      <c r="C310" s="151" t="str">
        <f t="shared" si="8"/>
        <v/>
      </c>
      <c r="D310" s="115"/>
      <c r="E310" s="610"/>
      <c r="F310" s="610"/>
      <c r="G310" s="610"/>
      <c r="H310" s="610"/>
      <c r="I310" s="610"/>
      <c r="J310" s="610"/>
      <c r="K310" s="610"/>
      <c r="L310" s="610"/>
      <c r="M310" s="115"/>
    </row>
    <row r="311" spans="1:13" outlineLevel="1">
      <c r="A311" s="363"/>
      <c r="B311" s="365"/>
      <c r="C311" s="151" t="str">
        <f t="shared" si="8"/>
        <v/>
      </c>
      <c r="D311" s="115"/>
      <c r="E311" s="142"/>
      <c r="F311" s="142"/>
      <c r="G311" s="142"/>
      <c r="H311" s="142"/>
      <c r="I311" s="142"/>
      <c r="J311" s="142"/>
      <c r="K311" s="142"/>
      <c r="L311" s="142"/>
      <c r="M311" s="115"/>
    </row>
    <row r="312" spans="1:13" ht="15" outlineLevel="1" thickBot="1">
      <c r="A312" s="363"/>
      <c r="B312" s="365"/>
      <c r="C312" s="151" t="str">
        <f t="shared" si="8"/>
        <v>Autres IAA</v>
      </c>
      <c r="D312" s="115"/>
      <c r="E312" s="627" t="s">
        <v>880</v>
      </c>
      <c r="F312" s="627"/>
      <c r="G312" s="627"/>
      <c r="H312" s="627"/>
      <c r="I312" s="627"/>
      <c r="J312" s="627"/>
      <c r="K312" s="627"/>
      <c r="L312" s="627"/>
      <c r="M312" s="115"/>
    </row>
    <row r="313" spans="1:13" outlineLevel="2">
      <c r="A313" s="363"/>
      <c r="B313" s="365"/>
      <c r="C313" s="151" t="str">
        <f t="shared" si="8"/>
        <v>%</v>
      </c>
      <c r="D313" s="115"/>
      <c r="E313" s="322" t="s">
        <v>121</v>
      </c>
      <c r="F313" s="323">
        <v>2021</v>
      </c>
      <c r="G313" s="323">
        <v>2025</v>
      </c>
      <c r="H313" s="323">
        <v>2030</v>
      </c>
      <c r="I313" s="323">
        <v>2035</v>
      </c>
      <c r="J313" s="323">
        <v>2040</v>
      </c>
      <c r="K313" s="323">
        <v>2045</v>
      </c>
      <c r="L313" s="324">
        <v>2050</v>
      </c>
      <c r="M313" s="115"/>
    </row>
    <row r="314" spans="1:13" outlineLevel="2">
      <c r="A314" s="363"/>
      <c r="B314" s="365"/>
      <c r="C314" s="151" t="str">
        <f t="shared" si="8"/>
        <v>Charbon</v>
      </c>
      <c r="D314" s="115"/>
      <c r="E314" s="218" t="s">
        <v>185</v>
      </c>
      <c r="F314" s="180">
        <v>3.7999999999999999E-2</v>
      </c>
      <c r="G314" s="181"/>
      <c r="H314" s="181">
        <v>0</v>
      </c>
      <c r="I314" s="181"/>
      <c r="J314" s="181"/>
      <c r="K314" s="181"/>
      <c r="L314" s="409">
        <v>0</v>
      </c>
      <c r="M314" s="115"/>
    </row>
    <row r="315" spans="1:13" outlineLevel="2">
      <c r="A315" s="363"/>
      <c r="B315" s="365"/>
      <c r="C315" s="151" t="str">
        <f t="shared" ref="C315:C378" si="9">IF(ISBLANK(E315),IF(ISBLANK(F315),"",F315),E315)</f>
        <v>Coke</v>
      </c>
      <c r="D315" s="115"/>
      <c r="E315" s="218" t="s">
        <v>257</v>
      </c>
      <c r="F315" s="177">
        <v>2E-3</v>
      </c>
      <c r="G315" s="174"/>
      <c r="H315" s="174">
        <v>0</v>
      </c>
      <c r="I315" s="174"/>
      <c r="J315" s="174"/>
      <c r="K315" s="174"/>
      <c r="L315" s="331">
        <v>0</v>
      </c>
      <c r="M315" s="115"/>
    </row>
    <row r="316" spans="1:13" outlineLevel="2">
      <c r="A316" s="363"/>
      <c r="B316" s="365"/>
      <c r="C316" s="151" t="str">
        <f t="shared" si="9"/>
        <v>Produits pétroliers raffinés</v>
      </c>
      <c r="D316" s="115"/>
      <c r="E316" s="218" t="s">
        <v>187</v>
      </c>
      <c r="F316" s="177">
        <v>6.3E-2</v>
      </c>
      <c r="G316" s="174"/>
      <c r="H316" s="174">
        <v>1.7000000000000001E-2</v>
      </c>
      <c r="I316" s="174"/>
      <c r="J316" s="174"/>
      <c r="K316" s="174"/>
      <c r="L316" s="331">
        <v>0</v>
      </c>
      <c r="M316" s="115"/>
    </row>
    <row r="317" spans="1:13" outlineLevel="2">
      <c r="A317" s="363"/>
      <c r="B317" s="365"/>
      <c r="C317" s="151" t="str">
        <f t="shared" si="9"/>
        <v>Gaz de réseau</v>
      </c>
      <c r="D317" s="115"/>
      <c r="E317" s="218" t="s">
        <v>258</v>
      </c>
      <c r="F317" s="177">
        <v>0.376</v>
      </c>
      <c r="G317" s="174"/>
      <c r="H317" s="174">
        <v>0.379</v>
      </c>
      <c r="I317" s="174"/>
      <c r="J317" s="174"/>
      <c r="K317" s="174"/>
      <c r="L317" s="331">
        <v>0.38</v>
      </c>
      <c r="M317" s="115"/>
    </row>
    <row r="318" spans="1:13" outlineLevel="2">
      <c r="A318" s="363"/>
      <c r="B318" s="365"/>
      <c r="C318" s="151" t="str">
        <f t="shared" si="9"/>
        <v>Biomasse solide</v>
      </c>
      <c r="D318" s="115"/>
      <c r="E318" s="218" t="s">
        <v>197</v>
      </c>
      <c r="F318" s="177">
        <v>1.7999999999999999E-2</v>
      </c>
      <c r="G318" s="174"/>
      <c r="H318" s="174">
        <v>0.06</v>
      </c>
      <c r="I318" s="174"/>
      <c r="J318" s="174"/>
      <c r="K318" s="174"/>
      <c r="L318" s="331">
        <v>0.08</v>
      </c>
      <c r="M318" s="115"/>
    </row>
    <row r="319" spans="1:13" outlineLevel="2">
      <c r="A319" s="363"/>
      <c r="B319" s="365"/>
      <c r="C319" s="151" t="str">
        <f t="shared" si="9"/>
        <v>Déchets</v>
      </c>
      <c r="D319" s="115"/>
      <c r="E319" s="218" t="s">
        <v>24</v>
      </c>
      <c r="F319" s="177">
        <v>0</v>
      </c>
      <c r="G319" s="174"/>
      <c r="H319" s="174">
        <v>0</v>
      </c>
      <c r="I319" s="174"/>
      <c r="J319" s="174"/>
      <c r="K319" s="174"/>
      <c r="L319" s="331">
        <v>0</v>
      </c>
      <c r="M319" s="115"/>
    </row>
    <row r="320" spans="1:13" outlineLevel="2">
      <c r="A320" s="363"/>
      <c r="B320" s="365"/>
      <c r="C320" s="151" t="str">
        <f t="shared" si="9"/>
        <v>Biocarburants et gaz renouvelable</v>
      </c>
      <c r="D320" s="115"/>
      <c r="E320" s="218" t="s">
        <v>259</v>
      </c>
      <c r="F320" s="177">
        <v>0</v>
      </c>
      <c r="G320" s="174"/>
      <c r="H320" s="174">
        <v>0</v>
      </c>
      <c r="I320" s="174"/>
      <c r="J320" s="174"/>
      <c r="K320" s="174"/>
      <c r="L320" s="331">
        <v>0</v>
      </c>
      <c r="M320" s="115"/>
    </row>
    <row r="321" spans="1:13" outlineLevel="2">
      <c r="A321" s="363"/>
      <c r="B321" s="365"/>
      <c r="C321" s="151" t="str">
        <f t="shared" si="9"/>
        <v>Chaleur de l'environnement</v>
      </c>
      <c r="D321" s="115"/>
      <c r="E321" s="218" t="s">
        <v>200</v>
      </c>
      <c r="F321" s="177">
        <v>0</v>
      </c>
      <c r="G321" s="174"/>
      <c r="H321" s="174">
        <v>0</v>
      </c>
      <c r="I321" s="174"/>
      <c r="J321" s="174"/>
      <c r="K321" s="174"/>
      <c r="L321" s="331">
        <v>0</v>
      </c>
      <c r="M321" s="115"/>
    </row>
    <row r="322" spans="1:13" outlineLevel="2">
      <c r="A322" s="363"/>
      <c r="B322" s="365"/>
      <c r="C322" s="151" t="str">
        <f t="shared" si="9"/>
        <v>Electricité</v>
      </c>
      <c r="D322" s="115"/>
      <c r="E322" s="218" t="s">
        <v>260</v>
      </c>
      <c r="F322" s="177">
        <v>0.42399999999999999</v>
      </c>
      <c r="G322" s="174"/>
      <c r="H322" s="174">
        <v>0.47799999999999998</v>
      </c>
      <c r="I322" s="174"/>
      <c r="J322" s="174"/>
      <c r="K322" s="174"/>
      <c r="L322" s="331">
        <v>0.48399999999999999</v>
      </c>
      <c r="M322" s="115"/>
    </row>
    <row r="323" spans="1:13" outlineLevel="2">
      <c r="A323" s="363"/>
      <c r="B323" s="365"/>
      <c r="C323" s="151" t="str">
        <f t="shared" si="9"/>
        <v>Chaleur vendue</v>
      </c>
      <c r="D323" s="115"/>
      <c r="E323" s="218" t="s">
        <v>195</v>
      </c>
      <c r="F323" s="177">
        <v>7.8E-2</v>
      </c>
      <c r="G323" s="174"/>
      <c r="H323" s="174">
        <v>6.6000000000000003E-2</v>
      </c>
      <c r="I323" s="174"/>
      <c r="J323" s="174"/>
      <c r="K323" s="174"/>
      <c r="L323" s="331">
        <v>5.6000000000000001E-2</v>
      </c>
      <c r="M323" s="115"/>
    </row>
    <row r="324" spans="1:13" ht="15" outlineLevel="2" thickBot="1">
      <c r="A324" s="363"/>
      <c r="B324" s="365"/>
      <c r="C324" s="151" t="str">
        <f t="shared" si="9"/>
        <v>Hydrogène</v>
      </c>
      <c r="D324" s="115"/>
      <c r="E324" s="222" t="s">
        <v>196</v>
      </c>
      <c r="F324" s="333">
        <v>0</v>
      </c>
      <c r="G324" s="334"/>
      <c r="H324" s="334">
        <v>0</v>
      </c>
      <c r="I324" s="334"/>
      <c r="J324" s="334"/>
      <c r="K324" s="334"/>
      <c r="L324" s="335">
        <v>0</v>
      </c>
      <c r="M324" s="115"/>
    </row>
    <row r="325" spans="1:13" outlineLevel="2">
      <c r="A325" s="363"/>
      <c r="B325" s="365"/>
      <c r="C325" s="151" t="str">
        <f t="shared" si="9"/>
        <v/>
      </c>
      <c r="D325" s="115"/>
      <c r="E325" s="610"/>
      <c r="F325" s="610"/>
      <c r="G325" s="610"/>
      <c r="H325" s="610"/>
      <c r="I325" s="610"/>
      <c r="J325" s="610"/>
      <c r="K325" s="610"/>
      <c r="L325" s="610"/>
      <c r="M325" s="115"/>
    </row>
    <row r="326" spans="1:13" outlineLevel="1">
      <c r="A326" s="363"/>
      <c r="B326" s="365"/>
      <c r="C326" s="151" t="str">
        <f t="shared" si="9"/>
        <v/>
      </c>
      <c r="D326" s="115"/>
      <c r="E326" s="142"/>
      <c r="F326" s="142"/>
      <c r="G326" s="142"/>
      <c r="H326" s="142"/>
      <c r="I326" s="142"/>
      <c r="J326" s="142"/>
      <c r="K326" s="142"/>
      <c r="L326" s="142"/>
      <c r="M326" s="115"/>
    </row>
    <row r="327" spans="1:13" ht="15" outlineLevel="1" thickBot="1">
      <c r="A327" s="363"/>
      <c r="B327" s="365"/>
      <c r="C327" s="151" t="str">
        <f t="shared" si="9"/>
        <v>Equipement</v>
      </c>
      <c r="D327" s="115"/>
      <c r="E327" s="627" t="s">
        <v>249</v>
      </c>
      <c r="F327" s="627"/>
      <c r="G327" s="627"/>
      <c r="H327" s="627"/>
      <c r="I327" s="627"/>
      <c r="J327" s="627"/>
      <c r="K327" s="627"/>
      <c r="L327" s="627"/>
      <c r="M327" s="115"/>
    </row>
    <row r="328" spans="1:13" outlineLevel="2">
      <c r="A328" s="363"/>
      <c r="B328" s="365"/>
      <c r="C328" s="151" t="str">
        <f t="shared" si="9"/>
        <v>%</v>
      </c>
      <c r="D328" s="115"/>
      <c r="E328" s="322" t="s">
        <v>121</v>
      </c>
      <c r="F328" s="323">
        <v>2021</v>
      </c>
      <c r="G328" s="323">
        <v>2025</v>
      </c>
      <c r="H328" s="323">
        <v>2030</v>
      </c>
      <c r="I328" s="323">
        <v>2035</v>
      </c>
      <c r="J328" s="323">
        <v>2040</v>
      </c>
      <c r="K328" s="323">
        <v>2045</v>
      </c>
      <c r="L328" s="324">
        <v>2050</v>
      </c>
      <c r="M328" s="115"/>
    </row>
    <row r="329" spans="1:13" outlineLevel="2">
      <c r="A329" s="363"/>
      <c r="B329" s="365"/>
      <c r="C329" s="151" t="str">
        <f t="shared" si="9"/>
        <v>Charbon</v>
      </c>
      <c r="D329" s="115"/>
      <c r="E329" s="218" t="s">
        <v>185</v>
      </c>
      <c r="F329" s="180">
        <v>8.0000000000000002E-3</v>
      </c>
      <c r="G329" s="181"/>
      <c r="H329" s="181">
        <v>0</v>
      </c>
      <c r="I329" s="181"/>
      <c r="J329" s="181"/>
      <c r="K329" s="181"/>
      <c r="L329" s="409">
        <v>0</v>
      </c>
      <c r="M329" s="115"/>
    </row>
    <row r="330" spans="1:13" outlineLevel="2">
      <c r="A330" s="363"/>
      <c r="B330" s="365"/>
      <c r="C330" s="151" t="str">
        <f t="shared" si="9"/>
        <v>Coke</v>
      </c>
      <c r="D330" s="115"/>
      <c r="E330" s="218" t="s">
        <v>257</v>
      </c>
      <c r="F330" s="177">
        <v>8.0000000000000002E-3</v>
      </c>
      <c r="G330" s="174"/>
      <c r="H330" s="174">
        <v>0</v>
      </c>
      <c r="I330" s="174"/>
      <c r="J330" s="174"/>
      <c r="K330" s="174"/>
      <c r="L330" s="331">
        <v>0</v>
      </c>
      <c r="M330" s="115"/>
    </row>
    <row r="331" spans="1:13" outlineLevel="2">
      <c r="A331" s="363"/>
      <c r="B331" s="365"/>
      <c r="C331" s="151" t="str">
        <f t="shared" si="9"/>
        <v>Produits pétroliers raffinés</v>
      </c>
      <c r="D331" s="115"/>
      <c r="E331" s="218" t="s">
        <v>187</v>
      </c>
      <c r="F331" s="177">
        <v>0.04</v>
      </c>
      <c r="G331" s="174"/>
      <c r="H331" s="174">
        <v>4.4999999999999998E-2</v>
      </c>
      <c r="I331" s="174"/>
      <c r="J331" s="174"/>
      <c r="K331" s="174"/>
      <c r="L331" s="331">
        <v>4.4999999999999998E-2</v>
      </c>
      <c r="M331" s="115"/>
    </row>
    <row r="332" spans="1:13" outlineLevel="2">
      <c r="A332" s="363"/>
      <c r="B332" s="365"/>
      <c r="C332" s="151" t="str">
        <f t="shared" si="9"/>
        <v>Gaz de réseau</v>
      </c>
      <c r="D332" s="115"/>
      <c r="E332" s="218" t="s">
        <v>258</v>
      </c>
      <c r="F332" s="177">
        <v>0.34</v>
      </c>
      <c r="G332" s="174"/>
      <c r="H332" s="174">
        <v>0.36499999999999999</v>
      </c>
      <c r="I332" s="174"/>
      <c r="J332" s="174"/>
      <c r="K332" s="174"/>
      <c r="L332" s="331">
        <v>0.36499999999999999</v>
      </c>
      <c r="M332" s="115"/>
    </row>
    <row r="333" spans="1:13" outlineLevel="2">
      <c r="A333" s="363"/>
      <c r="B333" s="365"/>
      <c r="C333" s="151" t="str">
        <f t="shared" si="9"/>
        <v>Biomasse solide</v>
      </c>
      <c r="D333" s="115"/>
      <c r="E333" s="218" t="s">
        <v>197</v>
      </c>
      <c r="F333" s="177">
        <v>0.01</v>
      </c>
      <c r="G333" s="174"/>
      <c r="H333" s="174">
        <v>8.0000000000000002E-3</v>
      </c>
      <c r="I333" s="174"/>
      <c r="J333" s="174"/>
      <c r="K333" s="174"/>
      <c r="L333" s="331">
        <v>8.0000000000000002E-3</v>
      </c>
      <c r="M333" s="115"/>
    </row>
    <row r="334" spans="1:13" outlineLevel="2">
      <c r="A334" s="363"/>
      <c r="B334" s="365"/>
      <c r="C334" s="151" t="str">
        <f t="shared" si="9"/>
        <v>Déchets</v>
      </c>
      <c r="D334" s="115"/>
      <c r="E334" s="218" t="s">
        <v>24</v>
      </c>
      <c r="F334" s="177">
        <v>0</v>
      </c>
      <c r="G334" s="174"/>
      <c r="H334" s="174">
        <v>0</v>
      </c>
      <c r="I334" s="174"/>
      <c r="J334" s="174"/>
      <c r="K334" s="174"/>
      <c r="L334" s="331">
        <v>0</v>
      </c>
      <c r="M334" s="115"/>
    </row>
    <row r="335" spans="1:13" outlineLevel="2">
      <c r="A335" s="363"/>
      <c r="B335" s="365"/>
      <c r="C335" s="151" t="str">
        <f t="shared" si="9"/>
        <v>Biocarburants et gaz renouvelable</v>
      </c>
      <c r="D335" s="115"/>
      <c r="E335" s="218" t="s">
        <v>259</v>
      </c>
      <c r="F335" s="177">
        <v>0</v>
      </c>
      <c r="G335" s="174"/>
      <c r="H335" s="174">
        <v>0</v>
      </c>
      <c r="I335" s="174"/>
      <c r="J335" s="174"/>
      <c r="K335" s="174"/>
      <c r="L335" s="331">
        <v>0</v>
      </c>
      <c r="M335" s="115"/>
    </row>
    <row r="336" spans="1:13" outlineLevel="2">
      <c r="A336" s="363"/>
      <c r="B336" s="365"/>
      <c r="C336" s="151" t="str">
        <f t="shared" si="9"/>
        <v>Chaleur de l'environnement</v>
      </c>
      <c r="D336" s="115"/>
      <c r="E336" s="218" t="s">
        <v>200</v>
      </c>
      <c r="F336" s="177">
        <v>0</v>
      </c>
      <c r="G336" s="174"/>
      <c r="H336" s="174">
        <v>0</v>
      </c>
      <c r="I336" s="174"/>
      <c r="J336" s="174"/>
      <c r="K336" s="174"/>
      <c r="L336" s="331">
        <v>0</v>
      </c>
      <c r="M336" s="115"/>
    </row>
    <row r="337" spans="1:13" outlineLevel="2">
      <c r="A337" s="363"/>
      <c r="B337" s="365"/>
      <c r="C337" s="151" t="str">
        <f t="shared" si="9"/>
        <v>Electricité</v>
      </c>
      <c r="D337" s="115"/>
      <c r="E337" s="218" t="s">
        <v>260</v>
      </c>
      <c r="F337" s="177">
        <v>0.57999999999999996</v>
      </c>
      <c r="G337" s="174"/>
      <c r="H337" s="174">
        <v>0.57999999999999996</v>
      </c>
      <c r="I337" s="174"/>
      <c r="J337" s="174"/>
      <c r="K337" s="174"/>
      <c r="L337" s="331">
        <v>0.57999999999999996</v>
      </c>
      <c r="M337" s="115"/>
    </row>
    <row r="338" spans="1:13" outlineLevel="2">
      <c r="A338" s="363"/>
      <c r="B338" s="365"/>
      <c r="C338" s="151" t="str">
        <f t="shared" si="9"/>
        <v>Chaleur vendue</v>
      </c>
      <c r="D338" s="115"/>
      <c r="E338" s="218" t="s">
        <v>195</v>
      </c>
      <c r="F338" s="177">
        <v>1.2E-2</v>
      </c>
      <c r="G338" s="174"/>
      <c r="H338" s="174">
        <v>2E-3</v>
      </c>
      <c r="I338" s="174"/>
      <c r="J338" s="174"/>
      <c r="K338" s="174"/>
      <c r="L338" s="331">
        <v>2E-3</v>
      </c>
      <c r="M338" s="115"/>
    </row>
    <row r="339" spans="1:13" ht="15" outlineLevel="2" thickBot="1">
      <c r="A339" s="363"/>
      <c r="B339" s="365"/>
      <c r="C339" s="151" t="str">
        <f t="shared" si="9"/>
        <v>Hydrogène</v>
      </c>
      <c r="D339" s="115"/>
      <c r="E339" s="222" t="s">
        <v>196</v>
      </c>
      <c r="F339" s="333">
        <v>0</v>
      </c>
      <c r="G339" s="334"/>
      <c r="H339" s="334">
        <v>0</v>
      </c>
      <c r="I339" s="334"/>
      <c r="J339" s="334"/>
      <c r="K339" s="334"/>
      <c r="L339" s="335">
        <v>0</v>
      </c>
      <c r="M339" s="115"/>
    </row>
    <row r="340" spans="1:13" outlineLevel="2">
      <c r="A340" s="363"/>
      <c r="B340" s="365"/>
      <c r="C340" s="151" t="str">
        <f t="shared" si="9"/>
        <v/>
      </c>
      <c r="D340" s="115"/>
      <c r="E340" s="610"/>
      <c r="F340" s="610"/>
      <c r="G340" s="610"/>
      <c r="H340" s="610"/>
      <c r="I340" s="610"/>
      <c r="J340" s="610"/>
      <c r="K340" s="610"/>
      <c r="L340" s="610"/>
      <c r="M340" s="115"/>
    </row>
    <row r="341" spans="1:13" outlineLevel="1">
      <c r="A341" s="363"/>
      <c r="B341" s="365"/>
      <c r="C341" s="151" t="str">
        <f t="shared" si="9"/>
        <v/>
      </c>
      <c r="D341" s="115"/>
      <c r="E341" s="142"/>
      <c r="F341" s="142"/>
      <c r="G341" s="142"/>
      <c r="H341" s="142"/>
      <c r="I341" s="142"/>
      <c r="J341" s="142"/>
      <c r="K341" s="142"/>
      <c r="L341" s="142"/>
      <c r="M341" s="115"/>
    </row>
    <row r="342" spans="1:13" ht="15" outlineLevel="1" thickBot="1">
      <c r="A342" s="363"/>
      <c r="B342" s="365"/>
      <c r="C342" s="151" t="str">
        <f t="shared" si="9"/>
        <v>Construction</v>
      </c>
      <c r="D342" s="115"/>
      <c r="E342" s="627" t="s">
        <v>3</v>
      </c>
      <c r="F342" s="627"/>
      <c r="G342" s="627"/>
      <c r="H342" s="627"/>
      <c r="I342" s="627"/>
      <c r="J342" s="627"/>
      <c r="K342" s="627"/>
      <c r="L342" s="627"/>
      <c r="M342" s="115"/>
    </row>
    <row r="343" spans="1:13" outlineLevel="2">
      <c r="A343" s="363"/>
      <c r="B343" s="365"/>
      <c r="C343" s="151" t="str">
        <f t="shared" si="9"/>
        <v>%</v>
      </c>
      <c r="D343" s="115"/>
      <c r="E343" s="322" t="s">
        <v>121</v>
      </c>
      <c r="F343" s="323">
        <v>2021</v>
      </c>
      <c r="G343" s="323">
        <v>2025</v>
      </c>
      <c r="H343" s="323">
        <v>2030</v>
      </c>
      <c r="I343" s="323">
        <v>2035</v>
      </c>
      <c r="J343" s="323">
        <v>2040</v>
      </c>
      <c r="K343" s="323">
        <v>2045</v>
      </c>
      <c r="L343" s="324">
        <v>2050</v>
      </c>
      <c r="M343" s="115"/>
    </row>
    <row r="344" spans="1:13" outlineLevel="2">
      <c r="A344" s="363"/>
      <c r="B344" s="365"/>
      <c r="C344" s="151" t="str">
        <f t="shared" si="9"/>
        <v>Charbon</v>
      </c>
      <c r="D344" s="115"/>
      <c r="E344" s="218" t="s">
        <v>185</v>
      </c>
      <c r="F344" s="180">
        <v>0</v>
      </c>
      <c r="G344" s="181"/>
      <c r="H344" s="181">
        <v>0</v>
      </c>
      <c r="I344" s="181"/>
      <c r="J344" s="181"/>
      <c r="K344" s="181"/>
      <c r="L344" s="409">
        <v>0</v>
      </c>
      <c r="M344" s="115"/>
    </row>
    <row r="345" spans="1:13" outlineLevel="2">
      <c r="A345" s="363"/>
      <c r="B345" s="365"/>
      <c r="C345" s="151" t="str">
        <f t="shared" si="9"/>
        <v>Coke</v>
      </c>
      <c r="D345" s="115"/>
      <c r="E345" s="218" t="s">
        <v>257</v>
      </c>
      <c r="F345" s="177">
        <v>0</v>
      </c>
      <c r="G345" s="174"/>
      <c r="H345" s="174">
        <v>0</v>
      </c>
      <c r="I345" s="174"/>
      <c r="J345" s="174"/>
      <c r="K345" s="174"/>
      <c r="L345" s="331">
        <v>0</v>
      </c>
      <c r="M345" s="115"/>
    </row>
    <row r="346" spans="1:13" outlineLevel="2">
      <c r="A346" s="363"/>
      <c r="B346" s="365"/>
      <c r="C346" s="151" t="str">
        <f t="shared" si="9"/>
        <v>Produits pétroliers raffinés</v>
      </c>
      <c r="D346" s="115"/>
      <c r="E346" s="218" t="s">
        <v>187</v>
      </c>
      <c r="F346" s="177">
        <v>0.6</v>
      </c>
      <c r="G346" s="174"/>
      <c r="H346" s="174">
        <v>0.60499999999999998</v>
      </c>
      <c r="I346" s="174"/>
      <c r="J346" s="174"/>
      <c r="K346" s="174"/>
      <c r="L346" s="331">
        <v>0.60499999999999998</v>
      </c>
      <c r="M346" s="115"/>
    </row>
    <row r="347" spans="1:13" outlineLevel="2">
      <c r="A347" s="363"/>
      <c r="B347" s="365"/>
      <c r="C347" s="151" t="str">
        <f t="shared" si="9"/>
        <v>Gaz de réseau</v>
      </c>
      <c r="D347" s="115"/>
      <c r="E347" s="218" t="s">
        <v>258</v>
      </c>
      <c r="F347" s="177">
        <v>0.152</v>
      </c>
      <c r="G347" s="174"/>
      <c r="H347" s="174">
        <v>0.125</v>
      </c>
      <c r="I347" s="174"/>
      <c r="J347" s="174"/>
      <c r="K347" s="174"/>
      <c r="L347" s="331">
        <v>0.125</v>
      </c>
      <c r="M347" s="115"/>
    </row>
    <row r="348" spans="1:13" outlineLevel="2">
      <c r="A348" s="363"/>
      <c r="B348" s="365"/>
      <c r="C348" s="151" t="str">
        <f t="shared" si="9"/>
        <v>Biomasse solide</v>
      </c>
      <c r="D348" s="115"/>
      <c r="E348" s="218" t="s">
        <v>197</v>
      </c>
      <c r="F348" s="177">
        <v>1E-3</v>
      </c>
      <c r="G348" s="174"/>
      <c r="H348" s="174">
        <v>3.6999999999999998E-2</v>
      </c>
      <c r="I348" s="174"/>
      <c r="J348" s="174"/>
      <c r="K348" s="174"/>
      <c r="L348" s="331">
        <v>3.6999999999999998E-2</v>
      </c>
      <c r="M348" s="115"/>
    </row>
    <row r="349" spans="1:13" outlineLevel="2">
      <c r="A349" s="363"/>
      <c r="B349" s="365"/>
      <c r="C349" s="151" t="str">
        <f t="shared" si="9"/>
        <v>Déchets</v>
      </c>
      <c r="D349" s="115"/>
      <c r="E349" s="218" t="s">
        <v>24</v>
      </c>
      <c r="F349" s="177">
        <v>0</v>
      </c>
      <c r="G349" s="174"/>
      <c r="H349" s="174">
        <v>0</v>
      </c>
      <c r="I349" s="174"/>
      <c r="J349" s="174"/>
      <c r="K349" s="174"/>
      <c r="L349" s="331">
        <v>0</v>
      </c>
      <c r="M349" s="115"/>
    </row>
    <row r="350" spans="1:13" outlineLevel="2">
      <c r="A350" s="363"/>
      <c r="B350" s="365"/>
      <c r="C350" s="151" t="str">
        <f t="shared" si="9"/>
        <v>Biocarburants et gaz renouvelable</v>
      </c>
      <c r="D350" s="115"/>
      <c r="E350" s="218" t="s">
        <v>259</v>
      </c>
      <c r="F350" s="177">
        <v>0</v>
      </c>
      <c r="G350" s="174"/>
      <c r="H350" s="174">
        <v>0</v>
      </c>
      <c r="I350" s="174"/>
      <c r="J350" s="174"/>
      <c r="K350" s="174"/>
      <c r="L350" s="331">
        <v>0</v>
      </c>
      <c r="M350" s="115"/>
    </row>
    <row r="351" spans="1:13" outlineLevel="2">
      <c r="A351" s="363"/>
      <c r="B351" s="365"/>
      <c r="C351" s="151" t="str">
        <f t="shared" si="9"/>
        <v>Chaleur de l'environnement</v>
      </c>
      <c r="D351" s="115"/>
      <c r="E351" s="218" t="s">
        <v>200</v>
      </c>
      <c r="F351" s="177">
        <v>0</v>
      </c>
      <c r="G351" s="174"/>
      <c r="H351" s="174">
        <v>0</v>
      </c>
      <c r="I351" s="174"/>
      <c r="J351" s="174"/>
      <c r="K351" s="174"/>
      <c r="L351" s="331">
        <v>0</v>
      </c>
      <c r="M351" s="115"/>
    </row>
    <row r="352" spans="1:13" outlineLevel="2">
      <c r="A352" s="363"/>
      <c r="B352" s="365"/>
      <c r="C352" s="151" t="str">
        <f t="shared" si="9"/>
        <v>Electricité</v>
      </c>
      <c r="D352" s="115"/>
      <c r="E352" s="218" t="s">
        <v>260</v>
      </c>
      <c r="F352" s="177">
        <v>0.246</v>
      </c>
      <c r="G352" s="174"/>
      <c r="H352" s="174">
        <v>0.23200000000000001</v>
      </c>
      <c r="I352" s="174"/>
      <c r="J352" s="174"/>
      <c r="K352" s="174"/>
      <c r="L352" s="331">
        <v>0.23200000000000001</v>
      </c>
      <c r="M352" s="115"/>
    </row>
    <row r="353" spans="1:13" outlineLevel="2">
      <c r="A353" s="363"/>
      <c r="B353" s="365"/>
      <c r="C353" s="151" t="str">
        <f t="shared" si="9"/>
        <v>Chaleur vendue</v>
      </c>
      <c r="D353" s="115"/>
      <c r="E353" s="218" t="s">
        <v>195</v>
      </c>
      <c r="F353" s="177">
        <v>0</v>
      </c>
      <c r="G353" s="174"/>
      <c r="H353" s="174">
        <v>0</v>
      </c>
      <c r="I353" s="174"/>
      <c r="J353" s="174"/>
      <c r="K353" s="174"/>
      <c r="L353" s="331">
        <v>0</v>
      </c>
      <c r="M353" s="115"/>
    </row>
    <row r="354" spans="1:13" ht="15" outlineLevel="2" thickBot="1">
      <c r="A354" s="363"/>
      <c r="B354" s="365"/>
      <c r="C354" s="151" t="str">
        <f t="shared" si="9"/>
        <v>Hydrogène</v>
      </c>
      <c r="D354" s="115"/>
      <c r="E354" s="222" t="s">
        <v>196</v>
      </c>
      <c r="F354" s="333">
        <v>0</v>
      </c>
      <c r="G354" s="334"/>
      <c r="H354" s="334">
        <v>0</v>
      </c>
      <c r="I354" s="334"/>
      <c r="J354" s="334"/>
      <c r="K354" s="334"/>
      <c r="L354" s="335">
        <v>0</v>
      </c>
      <c r="M354" s="115"/>
    </row>
    <row r="355" spans="1:13" outlineLevel="2">
      <c r="A355" s="363"/>
      <c r="B355" s="365"/>
      <c r="C355" s="151" t="str">
        <f t="shared" si="9"/>
        <v/>
      </c>
      <c r="D355" s="115"/>
      <c r="E355" s="610"/>
      <c r="F355" s="610"/>
      <c r="G355" s="610"/>
      <c r="H355" s="610"/>
      <c r="I355" s="610"/>
      <c r="J355" s="610"/>
      <c r="K355" s="610"/>
      <c r="L355" s="610"/>
      <c r="M355" s="115"/>
    </row>
    <row r="356" spans="1:13" outlineLevel="1">
      <c r="A356" s="363"/>
      <c r="B356" s="365"/>
      <c r="C356" s="151" t="str">
        <f t="shared" si="9"/>
        <v/>
      </c>
      <c r="D356" s="115"/>
      <c r="E356" s="142"/>
      <c r="F356" s="142"/>
      <c r="G356" s="142"/>
      <c r="H356" s="142"/>
      <c r="I356" s="142"/>
      <c r="J356" s="142"/>
      <c r="K356" s="142"/>
      <c r="L356" s="142"/>
      <c r="M356" s="115"/>
    </row>
    <row r="357" spans="1:13" ht="15" outlineLevel="1" thickBot="1">
      <c r="A357" s="363"/>
      <c r="B357" s="365"/>
      <c r="C357" s="151" t="str">
        <f t="shared" si="9"/>
        <v>Papier-pâtes</v>
      </c>
      <c r="D357" s="115"/>
      <c r="E357" s="627" t="s">
        <v>268</v>
      </c>
      <c r="F357" s="627"/>
      <c r="G357" s="627"/>
      <c r="H357" s="627"/>
      <c r="I357" s="627"/>
      <c r="J357" s="627"/>
      <c r="K357" s="627"/>
      <c r="L357" s="627"/>
      <c r="M357" s="115"/>
    </row>
    <row r="358" spans="1:13" outlineLevel="2">
      <c r="A358" s="363"/>
      <c r="B358" s="365"/>
      <c r="C358" s="151" t="str">
        <f t="shared" si="9"/>
        <v>%</v>
      </c>
      <c r="D358" s="115"/>
      <c r="E358" s="322" t="s">
        <v>121</v>
      </c>
      <c r="F358" s="323">
        <v>2021</v>
      </c>
      <c r="G358" s="323">
        <v>2025</v>
      </c>
      <c r="H358" s="323">
        <v>2030</v>
      </c>
      <c r="I358" s="323">
        <v>2035</v>
      </c>
      <c r="J358" s="323">
        <v>2040</v>
      </c>
      <c r="K358" s="323">
        <v>2045</v>
      </c>
      <c r="L358" s="324">
        <v>2050</v>
      </c>
      <c r="M358" s="115"/>
    </row>
    <row r="359" spans="1:13" outlineLevel="2">
      <c r="A359" s="363"/>
      <c r="B359" s="365"/>
      <c r="C359" s="151" t="str">
        <f t="shared" si="9"/>
        <v>Charbon</v>
      </c>
      <c r="D359" s="115"/>
      <c r="E359" s="218" t="s">
        <v>185</v>
      </c>
      <c r="F359" s="180">
        <v>0</v>
      </c>
      <c r="G359" s="181"/>
      <c r="H359" s="181">
        <v>0</v>
      </c>
      <c r="I359" s="181"/>
      <c r="J359" s="181"/>
      <c r="K359" s="181"/>
      <c r="L359" s="409">
        <v>0</v>
      </c>
      <c r="M359" s="115"/>
    </row>
    <row r="360" spans="1:13" outlineLevel="2">
      <c r="A360" s="363"/>
      <c r="B360" s="365"/>
      <c r="C360" s="151" t="str">
        <f t="shared" si="9"/>
        <v>Coke</v>
      </c>
      <c r="D360" s="115"/>
      <c r="E360" s="218" t="s">
        <v>257</v>
      </c>
      <c r="F360" s="177">
        <v>0</v>
      </c>
      <c r="G360" s="174"/>
      <c r="H360" s="174">
        <v>0</v>
      </c>
      <c r="I360" s="174"/>
      <c r="J360" s="174"/>
      <c r="K360" s="174"/>
      <c r="L360" s="331">
        <v>0</v>
      </c>
      <c r="M360" s="115"/>
    </row>
    <row r="361" spans="1:13" outlineLevel="2">
      <c r="A361" s="363"/>
      <c r="B361" s="365"/>
      <c r="C361" s="151" t="str">
        <f t="shared" si="9"/>
        <v>Produits pétroliers raffinés</v>
      </c>
      <c r="D361" s="115"/>
      <c r="E361" s="218" t="s">
        <v>187</v>
      </c>
      <c r="F361" s="177">
        <v>0.02</v>
      </c>
      <c r="G361" s="174"/>
      <c r="H361" s="174">
        <v>0.01</v>
      </c>
      <c r="I361" s="174"/>
      <c r="J361" s="174"/>
      <c r="K361" s="174"/>
      <c r="L361" s="331">
        <v>0</v>
      </c>
      <c r="M361" s="115"/>
    </row>
    <row r="362" spans="1:13" outlineLevel="2">
      <c r="A362" s="363"/>
      <c r="B362" s="365"/>
      <c r="C362" s="151" t="str">
        <f t="shared" si="9"/>
        <v>Gaz de réseau</v>
      </c>
      <c r="D362" s="115"/>
      <c r="E362" s="218" t="s">
        <v>258</v>
      </c>
      <c r="F362" s="177">
        <v>0.32200000000000001</v>
      </c>
      <c r="G362" s="174"/>
      <c r="H362" s="174">
        <v>0.27300000000000002</v>
      </c>
      <c r="I362" s="174"/>
      <c r="J362" s="174"/>
      <c r="K362" s="174"/>
      <c r="L362" s="331">
        <v>0.223</v>
      </c>
      <c r="M362" s="115"/>
    </row>
    <row r="363" spans="1:13" outlineLevel="2">
      <c r="A363" s="363"/>
      <c r="B363" s="365"/>
      <c r="C363" s="151" t="str">
        <f t="shared" si="9"/>
        <v>Biomasse solide</v>
      </c>
      <c r="D363" s="115"/>
      <c r="E363" s="218" t="s">
        <v>197</v>
      </c>
      <c r="F363" s="177">
        <v>0.25700000000000001</v>
      </c>
      <c r="G363" s="174"/>
      <c r="H363" s="174">
        <v>0.28000000000000003</v>
      </c>
      <c r="I363" s="174"/>
      <c r="J363" s="174"/>
      <c r="K363" s="174"/>
      <c r="L363" s="331">
        <v>0.29799999999999999</v>
      </c>
      <c r="M363" s="115"/>
    </row>
    <row r="364" spans="1:13" outlineLevel="2">
      <c r="A364" s="363"/>
      <c r="B364" s="365"/>
      <c r="C364" s="151" t="str">
        <f t="shared" si="9"/>
        <v>Déchets</v>
      </c>
      <c r="D364" s="115"/>
      <c r="E364" s="218" t="s">
        <v>24</v>
      </c>
      <c r="F364" s="177">
        <v>0</v>
      </c>
      <c r="G364" s="174"/>
      <c r="H364" s="174">
        <v>2.5000000000000001E-2</v>
      </c>
      <c r="I364" s="174"/>
      <c r="J364" s="174"/>
      <c r="K364" s="174"/>
      <c r="L364" s="331">
        <v>0.04</v>
      </c>
      <c r="M364" s="115"/>
    </row>
    <row r="365" spans="1:13" outlineLevel="2">
      <c r="A365" s="363"/>
      <c r="B365" s="365"/>
      <c r="C365" s="151" t="str">
        <f t="shared" si="9"/>
        <v>Biocarburants et gaz renouvelable</v>
      </c>
      <c r="D365" s="115"/>
      <c r="E365" s="218" t="s">
        <v>259</v>
      </c>
      <c r="F365" s="177">
        <v>0</v>
      </c>
      <c r="G365" s="174"/>
      <c r="H365" s="174">
        <v>0</v>
      </c>
      <c r="I365" s="174"/>
      <c r="J365" s="174"/>
      <c r="K365" s="174"/>
      <c r="L365" s="331">
        <v>0</v>
      </c>
      <c r="M365" s="115"/>
    </row>
    <row r="366" spans="1:13" outlineLevel="2">
      <c r="A366" s="363"/>
      <c r="B366" s="365"/>
      <c r="C366" s="151" t="str">
        <f t="shared" si="9"/>
        <v>Chaleur de l'environnement</v>
      </c>
      <c r="D366" s="115"/>
      <c r="E366" s="218" t="s">
        <v>200</v>
      </c>
      <c r="F366" s="177">
        <v>0</v>
      </c>
      <c r="G366" s="174"/>
      <c r="H366" s="174">
        <v>0</v>
      </c>
      <c r="I366" s="174"/>
      <c r="J366" s="174"/>
      <c r="K366" s="174"/>
      <c r="L366" s="331">
        <v>0</v>
      </c>
      <c r="M366" s="115"/>
    </row>
    <row r="367" spans="1:13" outlineLevel="2">
      <c r="A367" s="363"/>
      <c r="B367" s="365"/>
      <c r="C367" s="151" t="str">
        <f t="shared" si="9"/>
        <v>Electricité</v>
      </c>
      <c r="D367" s="115"/>
      <c r="E367" s="218" t="s">
        <v>260</v>
      </c>
      <c r="F367" s="177">
        <v>0.25800000000000001</v>
      </c>
      <c r="G367" s="174"/>
      <c r="H367" s="174">
        <v>0.28699999999999998</v>
      </c>
      <c r="I367" s="174"/>
      <c r="J367" s="174"/>
      <c r="K367" s="174"/>
      <c r="L367" s="331">
        <v>0.29799999999999999</v>
      </c>
      <c r="M367" s="115"/>
    </row>
    <row r="368" spans="1:13" outlineLevel="2">
      <c r="A368" s="363"/>
      <c r="B368" s="365"/>
      <c r="C368" s="151" t="str">
        <f t="shared" si="9"/>
        <v>Chaleur vendue</v>
      </c>
      <c r="D368" s="115"/>
      <c r="E368" s="218" t="s">
        <v>195</v>
      </c>
      <c r="F368" s="177">
        <v>0.14199999999999999</v>
      </c>
      <c r="G368" s="174"/>
      <c r="H368" s="174">
        <v>0.124</v>
      </c>
      <c r="I368" s="174"/>
      <c r="J368" s="174"/>
      <c r="K368" s="174"/>
      <c r="L368" s="331">
        <v>0.14099999999999999</v>
      </c>
      <c r="M368" s="115"/>
    </row>
    <row r="369" spans="1:13" ht="15" outlineLevel="2" thickBot="1">
      <c r="A369" s="363"/>
      <c r="B369" s="365"/>
      <c r="C369" s="151" t="str">
        <f t="shared" si="9"/>
        <v>Hydrogène</v>
      </c>
      <c r="D369" s="115"/>
      <c r="E369" s="222" t="s">
        <v>196</v>
      </c>
      <c r="F369" s="333">
        <v>0</v>
      </c>
      <c r="G369" s="334"/>
      <c r="H369" s="334">
        <v>0</v>
      </c>
      <c r="I369" s="334"/>
      <c r="J369" s="334"/>
      <c r="K369" s="334"/>
      <c r="L369" s="335">
        <v>0</v>
      </c>
      <c r="M369" s="115"/>
    </row>
    <row r="370" spans="1:13" outlineLevel="2">
      <c r="A370" s="363"/>
      <c r="B370" s="365"/>
      <c r="C370" s="151" t="str">
        <f t="shared" si="9"/>
        <v/>
      </c>
      <c r="D370" s="115"/>
      <c r="E370" s="610"/>
      <c r="F370" s="610"/>
      <c r="G370" s="610"/>
      <c r="H370" s="610"/>
      <c r="I370" s="610"/>
      <c r="J370" s="610"/>
      <c r="K370" s="610"/>
      <c r="L370" s="610"/>
      <c r="M370" s="115"/>
    </row>
    <row r="371" spans="1:13" outlineLevel="1">
      <c r="A371" s="363"/>
      <c r="B371" s="365"/>
      <c r="C371" s="151" t="str">
        <f t="shared" si="9"/>
        <v/>
      </c>
      <c r="D371" s="115"/>
      <c r="E371" s="142"/>
      <c r="F371" s="142"/>
      <c r="G371" s="142"/>
      <c r="H371" s="142"/>
      <c r="I371" s="142"/>
      <c r="J371" s="142"/>
      <c r="K371" s="142"/>
      <c r="L371" s="142"/>
      <c r="M371" s="115"/>
    </row>
    <row r="372" spans="1:13" ht="15" outlineLevel="1" thickBot="1">
      <c r="A372" s="363"/>
      <c r="B372" s="365"/>
      <c r="C372" s="151" t="str">
        <f t="shared" si="9"/>
        <v>Autres</v>
      </c>
      <c r="D372" s="115"/>
      <c r="E372" s="627" t="s">
        <v>250</v>
      </c>
      <c r="F372" s="627"/>
      <c r="G372" s="627"/>
      <c r="H372" s="627"/>
      <c r="I372" s="627"/>
      <c r="J372" s="627"/>
      <c r="K372" s="627"/>
      <c r="L372" s="627"/>
      <c r="M372" s="115"/>
    </row>
    <row r="373" spans="1:13" outlineLevel="2">
      <c r="A373" s="363"/>
      <c r="B373" s="365"/>
      <c r="C373" s="151" t="str">
        <f t="shared" si="9"/>
        <v>%</v>
      </c>
      <c r="D373" s="115"/>
      <c r="E373" s="322" t="s">
        <v>121</v>
      </c>
      <c r="F373" s="323">
        <v>2021</v>
      </c>
      <c r="G373" s="323">
        <v>2025</v>
      </c>
      <c r="H373" s="323">
        <v>2030</v>
      </c>
      <c r="I373" s="323">
        <v>2035</v>
      </c>
      <c r="J373" s="323">
        <v>2040</v>
      </c>
      <c r="K373" s="323">
        <v>2045</v>
      </c>
      <c r="L373" s="324">
        <v>2050</v>
      </c>
      <c r="M373" s="115"/>
    </row>
    <row r="374" spans="1:13" outlineLevel="2">
      <c r="A374" s="363"/>
      <c r="B374" s="365"/>
      <c r="C374" s="151" t="str">
        <f t="shared" si="9"/>
        <v>Charbon</v>
      </c>
      <c r="D374" s="115"/>
      <c r="E374" s="218" t="s">
        <v>185</v>
      </c>
      <c r="F374" s="180">
        <v>0</v>
      </c>
      <c r="G374" s="181"/>
      <c r="H374" s="181">
        <v>0</v>
      </c>
      <c r="I374" s="181"/>
      <c r="J374" s="181"/>
      <c r="K374" s="181"/>
      <c r="L374" s="409">
        <v>0</v>
      </c>
      <c r="M374" s="115"/>
    </row>
    <row r="375" spans="1:13" outlineLevel="2">
      <c r="A375" s="363"/>
      <c r="B375" s="365"/>
      <c r="C375" s="151" t="str">
        <f t="shared" si="9"/>
        <v>Coke</v>
      </c>
      <c r="D375" s="115"/>
      <c r="E375" s="218" t="s">
        <v>257</v>
      </c>
      <c r="F375" s="177">
        <v>0</v>
      </c>
      <c r="G375" s="174"/>
      <c r="H375" s="174">
        <v>0</v>
      </c>
      <c r="I375" s="174"/>
      <c r="J375" s="174"/>
      <c r="K375" s="174"/>
      <c r="L375" s="331">
        <v>0</v>
      </c>
      <c r="M375" s="115"/>
    </row>
    <row r="376" spans="1:13" outlineLevel="2">
      <c r="A376" s="363"/>
      <c r="B376" s="365"/>
      <c r="C376" s="151" t="str">
        <f t="shared" si="9"/>
        <v>Produits pétroliers raffinés</v>
      </c>
      <c r="D376" s="115"/>
      <c r="E376" s="218" t="s">
        <v>187</v>
      </c>
      <c r="F376" s="177">
        <v>0.14599999999999999</v>
      </c>
      <c r="G376" s="174"/>
      <c r="H376" s="174">
        <v>0.13800000000000001</v>
      </c>
      <c r="I376" s="174"/>
      <c r="J376" s="174"/>
      <c r="K376" s="174"/>
      <c r="L376" s="331">
        <v>3.5999999999999997E-2</v>
      </c>
      <c r="M376" s="115"/>
    </row>
    <row r="377" spans="1:13" outlineLevel="2">
      <c r="A377" s="363"/>
      <c r="B377" s="365"/>
      <c r="C377" s="151" t="str">
        <f t="shared" si="9"/>
        <v>Gaz de réseau</v>
      </c>
      <c r="D377" s="115"/>
      <c r="E377" s="218" t="s">
        <v>258</v>
      </c>
      <c r="F377" s="177">
        <v>0.33200000000000002</v>
      </c>
      <c r="G377" s="174"/>
      <c r="H377" s="174">
        <v>0.28499999999999998</v>
      </c>
      <c r="I377" s="174"/>
      <c r="J377" s="174"/>
      <c r="K377" s="174"/>
      <c r="L377" s="331">
        <v>0.28499999999999998</v>
      </c>
      <c r="M377" s="115"/>
    </row>
    <row r="378" spans="1:13" outlineLevel="2">
      <c r="A378" s="363"/>
      <c r="B378" s="365"/>
      <c r="C378" s="151" t="str">
        <f t="shared" si="9"/>
        <v>Biomasse solide</v>
      </c>
      <c r="D378" s="115"/>
      <c r="E378" s="218" t="s">
        <v>197</v>
      </c>
      <c r="F378" s="177">
        <v>1.2999999999999999E-2</v>
      </c>
      <c r="G378" s="174"/>
      <c r="H378" s="174">
        <v>5.0999999999999997E-2</v>
      </c>
      <c r="I378" s="174"/>
      <c r="J378" s="174"/>
      <c r="K378" s="174"/>
      <c r="L378" s="331">
        <v>7.6999999999999999E-2</v>
      </c>
      <c r="M378" s="115"/>
    </row>
    <row r="379" spans="1:13" outlineLevel="2">
      <c r="A379" s="363"/>
      <c r="B379" s="365"/>
      <c r="C379" s="151" t="str">
        <f t="shared" ref="C379:C440" si="10">IF(ISBLANK(E379),IF(ISBLANK(F379),"",F379),E379)</f>
        <v>Déchets</v>
      </c>
      <c r="D379" s="115"/>
      <c r="E379" s="218" t="s">
        <v>24</v>
      </c>
      <c r="F379" s="177">
        <v>0</v>
      </c>
      <c r="G379" s="174"/>
      <c r="H379" s="174">
        <v>0</v>
      </c>
      <c r="I379" s="174"/>
      <c r="J379" s="174"/>
      <c r="K379" s="174"/>
      <c r="L379" s="331">
        <v>0</v>
      </c>
      <c r="M379" s="115"/>
    </row>
    <row r="380" spans="1:13" outlineLevel="2">
      <c r="A380" s="363"/>
      <c r="B380" s="365"/>
      <c r="C380" s="151" t="str">
        <f t="shared" si="10"/>
        <v>Biocarburants et gaz renouvelable</v>
      </c>
      <c r="D380" s="115"/>
      <c r="E380" s="218" t="s">
        <v>259</v>
      </c>
      <c r="F380" s="177">
        <v>0</v>
      </c>
      <c r="G380" s="174"/>
      <c r="H380" s="174">
        <v>0</v>
      </c>
      <c r="I380" s="174"/>
      <c r="J380" s="174"/>
      <c r="K380" s="174"/>
      <c r="L380" s="331">
        <v>0</v>
      </c>
      <c r="M380" s="115"/>
    </row>
    <row r="381" spans="1:13" outlineLevel="2">
      <c r="A381" s="363"/>
      <c r="B381" s="365"/>
      <c r="C381" s="151" t="str">
        <f t="shared" si="10"/>
        <v>Chaleur de l'environnement</v>
      </c>
      <c r="D381" s="115"/>
      <c r="E381" s="218" t="s">
        <v>200</v>
      </c>
      <c r="F381" s="177">
        <v>0</v>
      </c>
      <c r="G381" s="174"/>
      <c r="H381" s="174">
        <v>0</v>
      </c>
      <c r="I381" s="174"/>
      <c r="J381" s="174"/>
      <c r="K381" s="174"/>
      <c r="L381" s="331">
        <v>0</v>
      </c>
      <c r="M381" s="115"/>
    </row>
    <row r="382" spans="1:13" outlineLevel="2">
      <c r="A382" s="363"/>
      <c r="B382" s="365"/>
      <c r="C382" s="151" t="str">
        <f t="shared" si="10"/>
        <v>Electricité</v>
      </c>
      <c r="D382" s="115"/>
      <c r="E382" s="218" t="s">
        <v>260</v>
      </c>
      <c r="F382" s="177">
        <v>0.48299999999999998</v>
      </c>
      <c r="G382" s="174"/>
      <c r="H382" s="174">
        <v>0.48699999999999999</v>
      </c>
      <c r="I382" s="174"/>
      <c r="J382" s="174"/>
      <c r="K382" s="174"/>
      <c r="L382" s="331">
        <v>0.58699999999999997</v>
      </c>
      <c r="M382" s="115"/>
    </row>
    <row r="383" spans="1:13" outlineLevel="2">
      <c r="A383" s="363"/>
      <c r="B383" s="365"/>
      <c r="C383" s="151" t="str">
        <f t="shared" si="10"/>
        <v>Chaleur vendue</v>
      </c>
      <c r="D383" s="115"/>
      <c r="E383" s="218" t="s">
        <v>195</v>
      </c>
      <c r="F383" s="177">
        <v>2.5999999999999999E-2</v>
      </c>
      <c r="G383" s="174"/>
      <c r="H383" s="174">
        <v>3.9E-2</v>
      </c>
      <c r="I383" s="174"/>
      <c r="J383" s="174"/>
      <c r="K383" s="174"/>
      <c r="L383" s="331">
        <v>1.4999999999999999E-2</v>
      </c>
      <c r="M383" s="115"/>
    </row>
    <row r="384" spans="1:13" ht="15" outlineLevel="2" thickBot="1">
      <c r="A384" s="363"/>
      <c r="B384" s="365"/>
      <c r="C384" s="151" t="str">
        <f t="shared" si="10"/>
        <v>Hydrogène</v>
      </c>
      <c r="D384" s="115"/>
      <c r="E384" s="222" t="s">
        <v>196</v>
      </c>
      <c r="F384" s="333">
        <v>0</v>
      </c>
      <c r="G384" s="334"/>
      <c r="H384" s="334">
        <v>0</v>
      </c>
      <c r="I384" s="334"/>
      <c r="J384" s="334"/>
      <c r="K384" s="334"/>
      <c r="L384" s="335">
        <v>0</v>
      </c>
      <c r="M384" s="115"/>
    </row>
    <row r="385" spans="1:13" outlineLevel="2">
      <c r="A385" s="363"/>
      <c r="B385" s="365"/>
      <c r="C385" s="151" t="str">
        <f t="shared" si="10"/>
        <v/>
      </c>
      <c r="D385" s="115"/>
      <c r="E385" s="610"/>
      <c r="F385" s="610"/>
      <c r="G385" s="610"/>
      <c r="H385" s="610"/>
      <c r="I385" s="610"/>
      <c r="J385" s="610"/>
      <c r="K385" s="610"/>
      <c r="L385" s="610"/>
      <c r="M385" s="115"/>
    </row>
    <row r="386" spans="1:13" outlineLevel="1">
      <c r="A386" s="363"/>
      <c r="B386" s="365"/>
      <c r="C386" s="151" t="str">
        <f t="shared" si="10"/>
        <v/>
      </c>
      <c r="D386" s="115"/>
      <c r="E386" s="142"/>
      <c r="F386" s="142"/>
      <c r="G386" s="142"/>
      <c r="H386" s="142"/>
      <c r="I386" s="142"/>
      <c r="J386" s="142"/>
      <c r="K386" s="142"/>
      <c r="L386" s="142"/>
      <c r="M386" s="115"/>
    </row>
    <row r="387" spans="1:13" ht="28.8" thickBot="1">
      <c r="A387" s="363"/>
      <c r="B387" s="365"/>
      <c r="C387" s="151" t="str">
        <f t="shared" si="10"/>
        <v>Efficacité énergétique</v>
      </c>
      <c r="D387" s="369"/>
      <c r="E387" s="370"/>
      <c r="F387" s="617" t="s">
        <v>229</v>
      </c>
      <c r="G387" s="617"/>
      <c r="H387" s="617"/>
      <c r="I387" s="617"/>
      <c r="J387" s="617"/>
      <c r="K387" s="617"/>
      <c r="L387" s="617"/>
      <c r="M387" s="617"/>
    </row>
    <row r="388" spans="1:13" ht="15" thickTop="1">
      <c r="A388" s="363"/>
      <c r="B388" s="365"/>
      <c r="C388" s="151" t="str">
        <f t="shared" si="10"/>
        <v/>
      </c>
      <c r="D388" s="148"/>
      <c r="E388" s="148"/>
      <c r="F388" s="148"/>
    </row>
    <row r="389" spans="1:13" outlineLevel="1">
      <c r="A389" s="363"/>
      <c r="B389" s="365"/>
      <c r="C389" s="151" t="str">
        <f t="shared" si="10"/>
        <v/>
      </c>
      <c r="D389" s="115"/>
      <c r="E389" s="115"/>
      <c r="F389" s="115"/>
      <c r="G389" s="115"/>
      <c r="H389" s="115"/>
      <c r="I389" s="115"/>
      <c r="J389" s="115"/>
      <c r="K389" s="115"/>
      <c r="L389" s="115"/>
      <c r="M389" s="115"/>
    </row>
    <row r="390" spans="1:13" ht="15.6" customHeight="1" outlineLevel="1">
      <c r="A390" s="363"/>
      <c r="B390" s="365"/>
      <c r="C390" s="151" t="str">
        <f t="shared" si="10"/>
        <v xml:space="preserve">Commentaire
IGCE = 
Diffus = </v>
      </c>
      <c r="D390" s="115"/>
      <c r="E390" s="611" t="s">
        <v>140</v>
      </c>
      <c r="F390" s="612"/>
      <c r="G390" s="612"/>
      <c r="H390" s="612"/>
      <c r="I390" s="612"/>
      <c r="J390" s="612"/>
      <c r="K390" s="612"/>
      <c r="L390" s="612"/>
      <c r="M390" s="115"/>
    </row>
    <row r="391" spans="1:13" ht="51" customHeight="1" outlineLevel="1">
      <c r="A391" s="363"/>
      <c r="B391" s="365"/>
      <c r="C391" s="151" t="str">
        <f t="shared" si="10"/>
        <v>L'efficacité énergétique décrit les économies d'énergie des procédés industriels, toutes choses égales par ailleurs. Un niveau de 90% en 2030 indique que le secteur a réduit ses consommations énergétiques par tonne de production de 10% par rapport à 2020.</v>
      </c>
      <c r="D391" s="115"/>
      <c r="E391" s="613" t="s">
        <v>882</v>
      </c>
      <c r="F391" s="614"/>
      <c r="G391" s="614"/>
      <c r="H391" s="614"/>
      <c r="I391" s="614"/>
      <c r="J391" s="614"/>
      <c r="K391" s="614"/>
      <c r="L391" s="614"/>
      <c r="M391" s="115"/>
    </row>
    <row r="392" spans="1:13" outlineLevel="1">
      <c r="A392" s="363"/>
      <c r="B392" s="365"/>
      <c r="C392" s="151" t="str">
        <f t="shared" si="10"/>
        <v/>
      </c>
      <c r="D392" s="115"/>
      <c r="E392" s="142"/>
      <c r="F392" s="142"/>
      <c r="G392" s="142"/>
      <c r="H392" s="142"/>
      <c r="I392" s="142"/>
      <c r="J392" s="142"/>
      <c r="K392" s="142"/>
      <c r="L392" s="142"/>
      <c r="M392" s="115"/>
    </row>
    <row r="393" spans="1:13" ht="15" outlineLevel="1" thickBot="1">
      <c r="A393" s="363"/>
      <c r="B393" s="365"/>
      <c r="C393" s="151" t="str">
        <f t="shared" si="10"/>
        <v>Evolution de l'efficacité énergétique des différentes filières (base 2021)</v>
      </c>
      <c r="D393" s="115"/>
      <c r="E393" s="627" t="s">
        <v>881</v>
      </c>
      <c r="F393" s="627"/>
      <c r="G393" s="627"/>
      <c r="H393" s="627"/>
      <c r="I393" s="627"/>
      <c r="J393" s="627"/>
      <c r="K393" s="627"/>
      <c r="L393" s="627"/>
      <c r="M393" s="115"/>
    </row>
    <row r="394" spans="1:13" outlineLevel="2">
      <c r="A394" s="363"/>
      <c r="B394" s="365"/>
      <c r="C394" s="151" t="str">
        <f t="shared" si="10"/>
        <v>Mégatonne (Mt)</v>
      </c>
      <c r="D394" s="115"/>
      <c r="E394" s="322" t="s">
        <v>150</v>
      </c>
      <c r="F394" s="323">
        <v>2021</v>
      </c>
      <c r="G394" s="323">
        <v>2025</v>
      </c>
      <c r="H394" s="323">
        <v>2030</v>
      </c>
      <c r="I394" s="323">
        <v>2035</v>
      </c>
      <c r="J394" s="323">
        <v>2040</v>
      </c>
      <c r="K394" s="323">
        <v>2045</v>
      </c>
      <c r="L394" s="324">
        <v>2050</v>
      </c>
      <c r="M394" s="115"/>
    </row>
    <row r="395" spans="1:13" outlineLevel="2">
      <c r="A395" s="363"/>
      <c r="B395" s="365"/>
      <c r="C395" s="151" t="str">
        <f t="shared" si="10"/>
        <v>Métaux primaires</v>
      </c>
      <c r="D395" s="115"/>
      <c r="E395" s="325" t="s">
        <v>159</v>
      </c>
      <c r="F395" s="132"/>
      <c r="G395" s="133"/>
      <c r="H395" s="133"/>
      <c r="I395" s="133"/>
      <c r="J395" s="133"/>
      <c r="K395" s="133"/>
      <c r="L395" s="461"/>
      <c r="M395" s="115"/>
    </row>
    <row r="396" spans="1:13" outlineLevel="2">
      <c r="A396" s="363"/>
      <c r="B396" s="365"/>
      <c r="C396" s="151" t="str">
        <f t="shared" si="10"/>
        <v xml:space="preserve">     Dont sidérurgie (hauts fourneaux)</v>
      </c>
      <c r="D396" s="115"/>
      <c r="E396" s="330" t="s">
        <v>230</v>
      </c>
      <c r="F396" s="177">
        <v>1</v>
      </c>
      <c r="G396" s="174">
        <v>0.94</v>
      </c>
      <c r="H396" s="174">
        <v>0.94</v>
      </c>
      <c r="I396" s="174"/>
      <c r="J396" s="174"/>
      <c r="K396" s="174"/>
      <c r="L396" s="331">
        <v>0.92</v>
      </c>
      <c r="M396" s="115"/>
    </row>
    <row r="397" spans="1:13" outlineLevel="2">
      <c r="A397" s="363"/>
      <c r="B397" s="365"/>
      <c r="C397" s="151" t="str">
        <f t="shared" si="10"/>
        <v xml:space="preserve">     Dont sidérurgie (arc électrique)</v>
      </c>
      <c r="D397" s="115"/>
      <c r="E397" s="330" t="s">
        <v>231</v>
      </c>
      <c r="F397" s="177">
        <v>1</v>
      </c>
      <c r="G397" s="174">
        <v>0.99</v>
      </c>
      <c r="H397" s="174">
        <v>0.98</v>
      </c>
      <c r="I397" s="174"/>
      <c r="J397" s="174"/>
      <c r="K397" s="174"/>
      <c r="L397" s="331">
        <v>0.95</v>
      </c>
      <c r="M397" s="115"/>
    </row>
    <row r="398" spans="1:13" outlineLevel="2">
      <c r="A398" s="363"/>
      <c r="B398" s="365"/>
      <c r="C398" s="151" t="str">
        <f t="shared" si="10"/>
        <v xml:space="preserve">     Dont sidérurgie (réduction directe)</v>
      </c>
      <c r="D398" s="115"/>
      <c r="E398" s="330" t="s">
        <v>232</v>
      </c>
      <c r="F398" s="177">
        <v>1</v>
      </c>
      <c r="G398" s="174">
        <v>1</v>
      </c>
      <c r="H398" s="174">
        <v>0.98</v>
      </c>
      <c r="I398" s="174"/>
      <c r="J398" s="174"/>
      <c r="K398" s="174"/>
      <c r="L398" s="331">
        <v>0.95</v>
      </c>
      <c r="M398" s="115"/>
    </row>
    <row r="399" spans="1:13" outlineLevel="2">
      <c r="A399" s="363"/>
      <c r="B399" s="365"/>
      <c r="C399" s="151" t="str">
        <f t="shared" si="10"/>
        <v xml:space="preserve">     Autre sidérurgie</v>
      </c>
      <c r="D399" s="115"/>
      <c r="E399" s="330" t="s">
        <v>233</v>
      </c>
      <c r="F399" s="177">
        <v>1</v>
      </c>
      <c r="G399" s="174">
        <v>1</v>
      </c>
      <c r="H399" s="174">
        <v>1</v>
      </c>
      <c r="I399" s="174"/>
      <c r="J399" s="174"/>
      <c r="K399" s="174"/>
      <c r="L399" s="331">
        <v>1</v>
      </c>
      <c r="M399" s="115"/>
    </row>
    <row r="400" spans="1:13" outlineLevel="2">
      <c r="A400" s="363"/>
      <c r="B400" s="365"/>
      <c r="C400" s="151" t="str">
        <f t="shared" si="10"/>
        <v xml:space="preserve">     Dont aluminium primaire</v>
      </c>
      <c r="D400" s="115"/>
      <c r="E400" s="330" t="s">
        <v>234</v>
      </c>
      <c r="F400" s="177">
        <v>1</v>
      </c>
      <c r="G400" s="174">
        <v>0.98</v>
      </c>
      <c r="H400" s="174">
        <v>0.97</v>
      </c>
      <c r="I400" s="174"/>
      <c r="J400" s="174"/>
      <c r="K400" s="174"/>
      <c r="L400" s="331">
        <v>0.92</v>
      </c>
      <c r="M400" s="115"/>
    </row>
    <row r="401" spans="1:13" outlineLevel="2">
      <c r="A401" s="363"/>
      <c r="B401" s="365"/>
      <c r="C401" s="151" t="str">
        <f t="shared" si="10"/>
        <v xml:space="preserve">     Dont aluminium recyclé</v>
      </c>
      <c r="D401" s="115"/>
      <c r="E401" s="330" t="s">
        <v>235</v>
      </c>
      <c r="F401" s="177">
        <v>1</v>
      </c>
      <c r="G401" s="174">
        <v>0.99</v>
      </c>
      <c r="H401" s="174">
        <v>0.98</v>
      </c>
      <c r="I401" s="174"/>
      <c r="J401" s="174"/>
      <c r="K401" s="174"/>
      <c r="L401" s="331">
        <v>0.95</v>
      </c>
      <c r="M401" s="115"/>
    </row>
    <row r="402" spans="1:13" outlineLevel="2">
      <c r="A402" s="363"/>
      <c r="B402" s="365"/>
      <c r="C402" s="151" t="str">
        <f t="shared" si="10"/>
        <v xml:space="preserve">     Dont autres métaux primaires</v>
      </c>
      <c r="D402" s="115"/>
      <c r="E402" s="330" t="s">
        <v>236</v>
      </c>
      <c r="F402" s="177">
        <v>1</v>
      </c>
      <c r="G402" s="174">
        <v>0.96</v>
      </c>
      <c r="H402" s="174">
        <v>0.95</v>
      </c>
      <c r="I402" s="174"/>
      <c r="J402" s="174"/>
      <c r="K402" s="174"/>
      <c r="L402" s="331">
        <v>0.94</v>
      </c>
      <c r="M402" s="115"/>
    </row>
    <row r="403" spans="1:13" outlineLevel="2">
      <c r="A403" s="363"/>
      <c r="B403" s="365"/>
      <c r="C403" s="151" t="str">
        <f t="shared" si="10"/>
        <v>Chimie</v>
      </c>
      <c r="D403" s="115"/>
      <c r="E403" s="325" t="s">
        <v>2</v>
      </c>
      <c r="F403" s="177">
        <v>1</v>
      </c>
      <c r="G403" s="174"/>
      <c r="H403" s="174"/>
      <c r="I403" s="174"/>
      <c r="J403" s="174"/>
      <c r="K403" s="174"/>
      <c r="L403" s="331"/>
      <c r="M403" s="115"/>
    </row>
    <row r="404" spans="1:13" outlineLevel="2">
      <c r="A404" s="363"/>
      <c r="B404" s="365"/>
      <c r="C404" s="151" t="str">
        <f t="shared" si="10"/>
        <v xml:space="preserve">     Dont Ammoniac</v>
      </c>
      <c r="D404" s="115"/>
      <c r="E404" s="330" t="s">
        <v>237</v>
      </c>
      <c r="F404" s="177">
        <v>1</v>
      </c>
      <c r="G404" s="174">
        <v>0.94</v>
      </c>
      <c r="H404" s="174">
        <v>0.9</v>
      </c>
      <c r="I404" s="174"/>
      <c r="J404" s="174"/>
      <c r="K404" s="174"/>
      <c r="L404" s="331">
        <v>0.88</v>
      </c>
      <c r="M404" s="115"/>
    </row>
    <row r="405" spans="1:13" outlineLevel="2">
      <c r="A405" s="363"/>
      <c r="B405" s="365"/>
      <c r="C405" s="151" t="str">
        <f t="shared" si="10"/>
        <v xml:space="preserve">     Dont pétrochimie de base</v>
      </c>
      <c r="D405" s="115"/>
      <c r="E405" s="330" t="s">
        <v>238</v>
      </c>
      <c r="F405" s="177">
        <v>1</v>
      </c>
      <c r="G405" s="174">
        <v>0.97</v>
      </c>
      <c r="H405" s="174">
        <v>0.96</v>
      </c>
      <c r="I405" s="174"/>
      <c r="J405" s="174"/>
      <c r="K405" s="174"/>
      <c r="L405" s="331">
        <v>0.94</v>
      </c>
      <c r="M405" s="115"/>
    </row>
    <row r="406" spans="1:13" outlineLevel="2">
      <c r="A406" s="363"/>
      <c r="B406" s="365"/>
      <c r="C406" s="151" t="str">
        <f t="shared" si="10"/>
        <v xml:space="preserve">     Dont autres chimies</v>
      </c>
      <c r="D406" s="115"/>
      <c r="E406" s="330" t="s">
        <v>239</v>
      </c>
      <c r="F406" s="177">
        <v>1</v>
      </c>
      <c r="G406" s="174">
        <v>0.96</v>
      </c>
      <c r="H406" s="174">
        <v>0.92</v>
      </c>
      <c r="I406" s="174"/>
      <c r="J406" s="174"/>
      <c r="K406" s="174"/>
      <c r="L406" s="331">
        <v>0.91</v>
      </c>
      <c r="M406" s="115"/>
    </row>
    <row r="407" spans="1:13" outlineLevel="2">
      <c r="A407" s="363"/>
      <c r="B407" s="365"/>
      <c r="C407" s="151" t="str">
        <f t="shared" si="10"/>
        <v>Non-métalliques</v>
      </c>
      <c r="D407" s="115"/>
      <c r="E407" s="325" t="s">
        <v>247</v>
      </c>
      <c r="F407" s="177">
        <v>1</v>
      </c>
      <c r="G407" s="174"/>
      <c r="H407" s="174"/>
      <c r="I407" s="174"/>
      <c r="J407" s="174"/>
      <c r="K407" s="174"/>
      <c r="L407" s="331"/>
      <c r="M407" s="115"/>
    </row>
    <row r="408" spans="1:13" outlineLevel="2">
      <c r="A408" s="363"/>
      <c r="B408" s="365"/>
      <c r="C408" s="151" t="str">
        <f t="shared" si="10"/>
        <v xml:space="preserve">     Dont clinker</v>
      </c>
      <c r="D408" s="115"/>
      <c r="E408" s="330" t="s">
        <v>240</v>
      </c>
      <c r="F408" s="177">
        <v>1</v>
      </c>
      <c r="G408" s="175">
        <v>0.93</v>
      </c>
      <c r="H408" s="175">
        <v>0.92</v>
      </c>
      <c r="I408" s="175"/>
      <c r="J408" s="175"/>
      <c r="K408" s="175"/>
      <c r="L408" s="552">
        <v>0.9</v>
      </c>
      <c r="M408" s="115"/>
    </row>
    <row r="409" spans="1:13" outlineLevel="2">
      <c r="A409" s="363"/>
      <c r="B409" s="365"/>
      <c r="C409" s="151" t="str">
        <f t="shared" si="10"/>
        <v xml:space="preserve">     Dont verre</v>
      </c>
      <c r="D409" s="115"/>
      <c r="E409" s="330" t="s">
        <v>241</v>
      </c>
      <c r="F409" s="177">
        <v>1</v>
      </c>
      <c r="G409" s="175">
        <v>0.93</v>
      </c>
      <c r="H409" s="175">
        <v>0.89</v>
      </c>
      <c r="I409" s="175"/>
      <c r="J409" s="175"/>
      <c r="K409" s="175"/>
      <c r="L409" s="552">
        <v>0.84</v>
      </c>
      <c r="M409" s="115"/>
    </row>
    <row r="410" spans="1:13" outlineLevel="2">
      <c r="A410" s="363"/>
      <c r="B410" s="365"/>
      <c r="C410" s="151" t="str">
        <f t="shared" si="10"/>
        <v xml:space="preserve">     Dont autres non-métalliques</v>
      </c>
      <c r="D410" s="115"/>
      <c r="E410" s="330" t="s">
        <v>242</v>
      </c>
      <c r="F410" s="177">
        <v>1</v>
      </c>
      <c r="G410" s="175">
        <v>0.95</v>
      </c>
      <c r="H410" s="175">
        <v>0.93</v>
      </c>
      <c r="I410" s="175"/>
      <c r="J410" s="175"/>
      <c r="K410" s="175"/>
      <c r="L410" s="552">
        <v>0.92</v>
      </c>
      <c r="M410" s="115"/>
    </row>
    <row r="411" spans="1:13" outlineLevel="2">
      <c r="A411" s="363"/>
      <c r="B411" s="365"/>
      <c r="C411" s="151" t="str">
        <f t="shared" si="10"/>
        <v>Industrie agroalimentaire</v>
      </c>
      <c r="D411" s="115"/>
      <c r="E411" s="325" t="s">
        <v>248</v>
      </c>
      <c r="F411" s="177">
        <v>1</v>
      </c>
      <c r="G411" s="175"/>
      <c r="H411" s="175"/>
      <c r="I411" s="175"/>
      <c r="J411" s="175"/>
      <c r="K411" s="175"/>
      <c r="L411" s="552"/>
      <c r="M411" s="115"/>
    </row>
    <row r="412" spans="1:13" outlineLevel="2">
      <c r="A412" s="363"/>
      <c r="B412" s="365"/>
      <c r="C412" s="151" t="str">
        <f t="shared" si="10"/>
        <v xml:space="preserve">     Dont sucre</v>
      </c>
      <c r="D412" s="115"/>
      <c r="E412" s="330" t="s">
        <v>243</v>
      </c>
      <c r="F412" s="177">
        <v>1</v>
      </c>
      <c r="G412" s="175">
        <v>0.94</v>
      </c>
      <c r="H412" s="175">
        <v>0.93</v>
      </c>
      <c r="I412" s="175"/>
      <c r="J412" s="175"/>
      <c r="K412" s="175"/>
      <c r="L412" s="552">
        <v>0.89</v>
      </c>
      <c r="M412" s="115"/>
    </row>
    <row r="413" spans="1:13" outlineLevel="2">
      <c r="A413" s="363"/>
      <c r="B413" s="365"/>
      <c r="C413" s="151" t="str">
        <f t="shared" si="10"/>
        <v xml:space="preserve">     Dont autres Industries alimentaires et agricoles</v>
      </c>
      <c r="D413" s="115"/>
      <c r="E413" s="330" t="s">
        <v>244</v>
      </c>
      <c r="F413" s="177">
        <v>1</v>
      </c>
      <c r="G413" s="175">
        <v>0.99</v>
      </c>
      <c r="H413" s="175">
        <v>0.99</v>
      </c>
      <c r="I413" s="175"/>
      <c r="J413" s="175"/>
      <c r="K413" s="175"/>
      <c r="L413" s="552">
        <v>0.97</v>
      </c>
      <c r="M413" s="115"/>
    </row>
    <row r="414" spans="1:13" outlineLevel="2">
      <c r="A414" s="363"/>
      <c r="B414" s="365"/>
      <c r="C414" s="151" t="str">
        <f t="shared" si="10"/>
        <v>Equipement</v>
      </c>
      <c r="D414" s="115"/>
      <c r="E414" s="325" t="s">
        <v>249</v>
      </c>
      <c r="F414" s="177">
        <v>1</v>
      </c>
      <c r="G414" s="175">
        <v>0.99</v>
      </c>
      <c r="H414" s="175">
        <v>0.97</v>
      </c>
      <c r="I414" s="175"/>
      <c r="J414" s="175"/>
      <c r="K414" s="175"/>
      <c r="L414" s="552">
        <v>0.93</v>
      </c>
      <c r="M414" s="115"/>
    </row>
    <row r="415" spans="1:13" outlineLevel="2">
      <c r="A415" s="363"/>
      <c r="B415" s="365"/>
      <c r="C415" s="151" t="str">
        <f t="shared" si="10"/>
        <v>Construction</v>
      </c>
      <c r="D415" s="115"/>
      <c r="E415" s="325" t="s">
        <v>3</v>
      </c>
      <c r="F415" s="177">
        <v>1</v>
      </c>
      <c r="G415" s="175">
        <v>0.99</v>
      </c>
      <c r="H415" s="175">
        <v>0.99</v>
      </c>
      <c r="I415" s="175"/>
      <c r="J415" s="175"/>
      <c r="K415" s="175"/>
      <c r="L415" s="552">
        <v>0.97</v>
      </c>
      <c r="M415" s="115"/>
    </row>
    <row r="416" spans="1:13" outlineLevel="2">
      <c r="A416" s="363"/>
      <c r="B416" s="365"/>
      <c r="C416" s="151" t="str">
        <f t="shared" si="10"/>
        <v>Autres</v>
      </c>
      <c r="D416" s="115"/>
      <c r="E416" s="325" t="s">
        <v>250</v>
      </c>
      <c r="F416" s="177">
        <v>1</v>
      </c>
      <c r="G416" s="175"/>
      <c r="H416" s="175"/>
      <c r="I416" s="175"/>
      <c r="J416" s="175"/>
      <c r="K416" s="175"/>
      <c r="L416" s="552"/>
      <c r="M416" s="115"/>
    </row>
    <row r="417" spans="1:15" outlineLevel="2">
      <c r="A417" s="363"/>
      <c r="B417" s="365"/>
      <c r="C417" s="151" t="str">
        <f t="shared" si="10"/>
        <v xml:space="preserve">     Dont papier-pâtes</v>
      </c>
      <c r="D417" s="115"/>
      <c r="E417" s="330" t="s">
        <v>245</v>
      </c>
      <c r="F417" s="177">
        <v>1</v>
      </c>
      <c r="G417" s="175">
        <v>0.9</v>
      </c>
      <c r="H417" s="175">
        <v>0.89</v>
      </c>
      <c r="I417" s="175"/>
      <c r="J417" s="175"/>
      <c r="K417" s="175"/>
      <c r="L417" s="552">
        <v>0.87</v>
      </c>
      <c r="M417" s="115"/>
    </row>
    <row r="418" spans="1:15" ht="15" outlineLevel="2" thickBot="1">
      <c r="A418" s="363"/>
      <c r="B418" s="365"/>
      <c r="C418" s="151" t="str">
        <f t="shared" si="10"/>
        <v xml:space="preserve">     Dont autres</v>
      </c>
      <c r="D418" s="115"/>
      <c r="E418" s="332" t="s">
        <v>246</v>
      </c>
      <c r="F418" s="333">
        <v>1</v>
      </c>
      <c r="G418" s="334">
        <v>0.99</v>
      </c>
      <c r="H418" s="334">
        <v>0.99</v>
      </c>
      <c r="I418" s="334"/>
      <c r="J418" s="334"/>
      <c r="K418" s="334"/>
      <c r="L418" s="335">
        <v>0.97</v>
      </c>
      <c r="M418" s="115"/>
    </row>
    <row r="419" spans="1:15" outlineLevel="2">
      <c r="A419" s="363"/>
      <c r="B419" s="365"/>
      <c r="C419" s="151" t="str">
        <f t="shared" si="10"/>
        <v/>
      </c>
      <c r="D419" s="115"/>
      <c r="E419" s="610"/>
      <c r="F419" s="610"/>
      <c r="G419" s="610"/>
      <c r="H419" s="610"/>
      <c r="I419" s="610"/>
      <c r="J419" s="610"/>
      <c r="K419" s="610"/>
      <c r="L419" s="610"/>
      <c r="M419" s="115"/>
    </row>
    <row r="420" spans="1:15" outlineLevel="1">
      <c r="A420" s="363"/>
      <c r="B420" s="365"/>
      <c r="C420" s="151" t="str">
        <f t="shared" si="10"/>
        <v/>
      </c>
      <c r="D420" s="115"/>
      <c r="E420" s="142"/>
      <c r="F420" s="142"/>
      <c r="G420" s="142"/>
      <c r="H420" s="142"/>
      <c r="I420" s="142"/>
      <c r="J420" s="142"/>
      <c r="K420" s="142"/>
      <c r="L420" s="142"/>
      <c r="M420" s="115"/>
    </row>
    <row r="421" spans="1:15" ht="28.8" thickBot="1">
      <c r="A421" s="363"/>
      <c r="B421" s="365"/>
      <c r="C421" s="151" t="str">
        <f t="shared" si="10"/>
        <v>Recyclage</v>
      </c>
      <c r="D421" s="369"/>
      <c r="E421" s="370"/>
      <c r="F421" s="617" t="s">
        <v>251</v>
      </c>
      <c r="G421" s="617"/>
      <c r="H421" s="617"/>
      <c r="I421" s="617"/>
      <c r="J421" s="617"/>
      <c r="K421" s="617"/>
      <c r="L421" s="617"/>
      <c r="M421" s="617"/>
    </row>
    <row r="422" spans="1:15" ht="15" thickTop="1">
      <c r="A422" s="363"/>
      <c r="B422" s="365"/>
      <c r="C422" s="151" t="str">
        <f t="shared" si="10"/>
        <v/>
      </c>
      <c r="D422" s="148"/>
      <c r="E422" s="148"/>
      <c r="F422" s="148"/>
    </row>
    <row r="423" spans="1:15" outlineLevel="1">
      <c r="A423" s="363"/>
      <c r="B423" s="365"/>
      <c r="C423" s="151" t="str">
        <f t="shared" si="10"/>
        <v/>
      </c>
      <c r="D423" s="115"/>
      <c r="E423" s="115"/>
      <c r="F423" s="115"/>
      <c r="G423" s="115"/>
      <c r="H423" s="115"/>
      <c r="I423" s="115"/>
      <c r="J423" s="115"/>
      <c r="K423" s="115"/>
      <c r="L423" s="115"/>
      <c r="M423" s="115"/>
    </row>
    <row r="424" spans="1:15" outlineLevel="1">
      <c r="A424" s="363"/>
      <c r="B424" s="365"/>
      <c r="C424" s="151" t="str">
        <f t="shared" si="10"/>
        <v/>
      </c>
      <c r="D424" s="115"/>
      <c r="E424" s="142"/>
      <c r="F424" s="142"/>
      <c r="G424" s="142"/>
      <c r="H424" s="142"/>
      <c r="I424" s="142"/>
      <c r="J424" s="142"/>
      <c r="K424" s="142"/>
      <c r="L424" s="142"/>
      <c r="M424" s="115"/>
    </row>
    <row r="425" spans="1:15" ht="15" outlineLevel="1" thickBot="1">
      <c r="A425" s="363"/>
      <c r="B425" s="365"/>
      <c r="C425" s="151" t="str">
        <f t="shared" si="10"/>
        <v>Taux d'incorporation des matières premières recyclées (%)</v>
      </c>
      <c r="D425" s="115"/>
      <c r="E425" s="627" t="s">
        <v>1082</v>
      </c>
      <c r="F425" s="627"/>
      <c r="G425" s="627"/>
      <c r="H425" s="627"/>
      <c r="I425" s="627"/>
      <c r="J425" s="627"/>
      <c r="K425" s="627"/>
      <c r="L425" s="627"/>
      <c r="M425" s="115"/>
    </row>
    <row r="426" spans="1:15" outlineLevel="2">
      <c r="A426" s="363"/>
      <c r="B426" s="365"/>
      <c r="C426" s="151" t="str">
        <f t="shared" si="10"/>
        <v>%</v>
      </c>
      <c r="D426" s="115"/>
      <c r="E426" s="322" t="s">
        <v>121</v>
      </c>
      <c r="F426" s="323">
        <v>2021</v>
      </c>
      <c r="G426" s="323">
        <v>2025</v>
      </c>
      <c r="H426" s="323">
        <v>2030</v>
      </c>
      <c r="I426" s="323">
        <v>2035</v>
      </c>
      <c r="J426" s="323">
        <v>2040</v>
      </c>
      <c r="K426" s="323">
        <v>2045</v>
      </c>
      <c r="L426" s="324">
        <v>2050</v>
      </c>
      <c r="M426" s="115"/>
      <c r="O426" s="189"/>
    </row>
    <row r="427" spans="1:15" outlineLevel="2">
      <c r="A427" s="363"/>
      <c r="B427" s="365"/>
      <c r="C427" s="151" t="str">
        <f t="shared" si="10"/>
        <v>Métaux primaires</v>
      </c>
      <c r="D427" s="115"/>
      <c r="E427" s="325" t="s">
        <v>159</v>
      </c>
      <c r="F427" s="132"/>
      <c r="G427" s="133"/>
      <c r="H427" s="133"/>
      <c r="I427" s="133"/>
      <c r="J427" s="133"/>
      <c r="K427" s="133"/>
      <c r="L427" s="461"/>
      <c r="M427" s="115"/>
      <c r="O427" s="190"/>
    </row>
    <row r="428" spans="1:15" outlineLevel="2">
      <c r="A428" s="363"/>
      <c r="B428" s="365"/>
      <c r="C428" s="151" t="str">
        <f t="shared" si="10"/>
        <v xml:space="preserve">     Dont sidérurgie</v>
      </c>
      <c r="D428" s="115"/>
      <c r="E428" s="330" t="s">
        <v>252</v>
      </c>
      <c r="F428" s="177">
        <v>0.43</v>
      </c>
      <c r="G428" s="174">
        <v>0.44</v>
      </c>
      <c r="H428" s="174">
        <v>0.47</v>
      </c>
      <c r="I428" s="174">
        <v>0.48</v>
      </c>
      <c r="J428" s="174">
        <v>0.48</v>
      </c>
      <c r="K428" s="174">
        <v>0.49</v>
      </c>
      <c r="L428" s="331">
        <v>0.49</v>
      </c>
      <c r="M428" s="115"/>
      <c r="O428" s="189"/>
    </row>
    <row r="429" spans="1:15" outlineLevel="2">
      <c r="A429" s="363"/>
      <c r="B429" s="365"/>
      <c r="C429" s="151" t="str">
        <f t="shared" si="10"/>
        <v xml:space="preserve">     Dont aluminium</v>
      </c>
      <c r="D429" s="115"/>
      <c r="E429" s="330" t="s">
        <v>253</v>
      </c>
      <c r="F429" s="177">
        <v>0.5</v>
      </c>
      <c r="G429" s="174">
        <v>0.51</v>
      </c>
      <c r="H429" s="174">
        <v>0.51</v>
      </c>
      <c r="I429" s="174">
        <v>0.51</v>
      </c>
      <c r="J429" s="174">
        <v>0.52</v>
      </c>
      <c r="K429" s="174">
        <v>0.53</v>
      </c>
      <c r="L429" s="331">
        <v>0.54</v>
      </c>
      <c r="M429" s="115"/>
      <c r="O429" s="190"/>
    </row>
    <row r="430" spans="1:15" outlineLevel="2">
      <c r="A430" s="363"/>
      <c r="B430" s="365"/>
      <c r="C430" s="151" t="str">
        <f t="shared" si="10"/>
        <v>Chimie</v>
      </c>
      <c r="D430" s="115"/>
      <c r="E430" s="325" t="s">
        <v>2</v>
      </c>
      <c r="F430" s="177"/>
      <c r="G430" s="174"/>
      <c r="H430" s="174"/>
      <c r="I430" s="174"/>
      <c r="J430" s="174"/>
      <c r="K430" s="174"/>
      <c r="L430" s="331"/>
      <c r="M430" s="115"/>
      <c r="O430" s="190"/>
    </row>
    <row r="431" spans="1:15" outlineLevel="2">
      <c r="A431" s="363"/>
      <c r="B431" s="365"/>
      <c r="C431" s="151" t="str">
        <f t="shared" si="10"/>
        <v xml:space="preserve">     Dont plastique</v>
      </c>
      <c r="D431" s="115"/>
      <c r="E431" s="330" t="s">
        <v>254</v>
      </c>
      <c r="F431" s="177">
        <v>0.14000000000000001</v>
      </c>
      <c r="G431" s="174">
        <v>0.21</v>
      </c>
      <c r="H431" s="174">
        <v>0.28000000000000003</v>
      </c>
      <c r="I431" s="174">
        <v>0.28999999999999998</v>
      </c>
      <c r="J431" s="174">
        <v>0.3</v>
      </c>
      <c r="K431" s="174">
        <v>0.3</v>
      </c>
      <c r="L431" s="331">
        <v>0.31</v>
      </c>
      <c r="M431" s="115"/>
      <c r="O431" s="189"/>
    </row>
    <row r="432" spans="1:15" outlineLevel="2">
      <c r="A432" s="363"/>
      <c r="B432" s="365"/>
      <c r="C432" s="151" t="str">
        <f t="shared" si="10"/>
        <v>Non-métalliques</v>
      </c>
      <c r="D432" s="115"/>
      <c r="E432" s="325" t="s">
        <v>247</v>
      </c>
      <c r="F432" s="177"/>
      <c r="G432" s="174"/>
      <c r="H432" s="174"/>
      <c r="I432" s="174"/>
      <c r="J432" s="174"/>
      <c r="K432" s="174"/>
      <c r="L432" s="331"/>
      <c r="M432" s="115"/>
      <c r="O432" s="189"/>
    </row>
    <row r="433" spans="1:15" outlineLevel="2">
      <c r="A433" s="363"/>
      <c r="B433" s="365"/>
      <c r="C433" s="151" t="str">
        <f t="shared" si="10"/>
        <v xml:space="preserve">     Dont verre</v>
      </c>
      <c r="D433" s="115"/>
      <c r="E433" s="330" t="s">
        <v>241</v>
      </c>
      <c r="F433" s="177">
        <v>0.63</v>
      </c>
      <c r="G433" s="174">
        <v>0.63</v>
      </c>
      <c r="H433" s="174">
        <v>0.64</v>
      </c>
      <c r="I433" s="174">
        <v>0.65</v>
      </c>
      <c r="J433" s="174">
        <v>0.66</v>
      </c>
      <c r="K433" s="174">
        <v>0.66</v>
      </c>
      <c r="L433" s="331">
        <v>0.67</v>
      </c>
      <c r="M433" s="115"/>
      <c r="O433" s="189"/>
    </row>
    <row r="434" spans="1:15" outlineLevel="2">
      <c r="A434" s="363"/>
      <c r="B434" s="365"/>
      <c r="C434" s="151" t="str">
        <f t="shared" si="10"/>
        <v>Autres</v>
      </c>
      <c r="D434" s="115"/>
      <c r="E434" s="325" t="s">
        <v>250</v>
      </c>
      <c r="F434" s="177"/>
      <c r="G434" s="174"/>
      <c r="H434" s="174"/>
      <c r="I434" s="174"/>
      <c r="J434" s="174"/>
      <c r="K434" s="174"/>
      <c r="L434" s="331"/>
      <c r="M434" s="115"/>
      <c r="O434" s="190"/>
    </row>
    <row r="435" spans="1:15" ht="15" outlineLevel="2" thickBot="1">
      <c r="A435" s="363"/>
      <c r="B435" s="365"/>
      <c r="C435" s="151" t="str">
        <f t="shared" si="10"/>
        <v xml:space="preserve">     Dont papier-pâtes</v>
      </c>
      <c r="D435" s="115"/>
      <c r="E435" s="332" t="s">
        <v>245</v>
      </c>
      <c r="F435" s="333">
        <v>0.71</v>
      </c>
      <c r="G435" s="334">
        <v>0.74</v>
      </c>
      <c r="H435" s="334">
        <v>0.76</v>
      </c>
      <c r="I435" s="334">
        <v>0.77</v>
      </c>
      <c r="J435" s="334">
        <v>0.77</v>
      </c>
      <c r="K435" s="334">
        <v>0.78</v>
      </c>
      <c r="L435" s="335">
        <v>0.78</v>
      </c>
      <c r="M435" s="115"/>
      <c r="O435" s="189"/>
    </row>
    <row r="436" spans="1:15" outlineLevel="2">
      <c r="A436" s="363"/>
      <c r="B436" s="365"/>
      <c r="C436" s="151" t="str">
        <f t="shared" si="10"/>
        <v>Bilan National du Recyclage 2012-2021 / Projections DGEC</v>
      </c>
      <c r="D436" s="115"/>
      <c r="E436" s="610" t="s">
        <v>311</v>
      </c>
      <c r="F436" s="610"/>
      <c r="G436" s="610"/>
      <c r="H436" s="610"/>
      <c r="I436" s="610"/>
      <c r="J436" s="610"/>
      <c r="K436" s="610"/>
      <c r="L436" s="610"/>
      <c r="M436" s="115"/>
      <c r="O436" s="190"/>
    </row>
    <row r="437" spans="1:15" outlineLevel="1">
      <c r="A437" s="363"/>
      <c r="B437" s="365"/>
      <c r="C437" s="151" t="str">
        <f t="shared" si="10"/>
        <v/>
      </c>
      <c r="D437" s="115"/>
      <c r="E437" s="142"/>
      <c r="F437" s="142"/>
      <c r="G437" s="142"/>
      <c r="H437" s="142"/>
      <c r="I437" s="142"/>
      <c r="J437" s="142"/>
      <c r="K437" s="142"/>
      <c r="L437" s="142"/>
      <c r="M437" s="115"/>
      <c r="O437" s="190"/>
    </row>
    <row r="438" spans="1:15" ht="28.8" thickBot="1">
      <c r="A438" s="363"/>
      <c r="B438" s="365"/>
      <c r="C438" s="151" t="str">
        <f t="shared" si="10"/>
        <v>Non-énergétique</v>
      </c>
      <c r="D438" s="369"/>
      <c r="E438" s="370"/>
      <c r="F438" s="617" t="s">
        <v>255</v>
      </c>
      <c r="G438" s="617"/>
      <c r="H438" s="617"/>
      <c r="I438" s="617"/>
      <c r="J438" s="617"/>
      <c r="K438" s="617"/>
      <c r="L438" s="617"/>
      <c r="M438" s="617"/>
      <c r="O438" s="189"/>
    </row>
    <row r="439" spans="1:15" ht="15" thickTop="1">
      <c r="A439" s="363"/>
      <c r="B439" s="365"/>
      <c r="C439" s="151" t="str">
        <f t="shared" si="10"/>
        <v/>
      </c>
      <c r="D439" s="148"/>
      <c r="E439" s="148"/>
      <c r="F439" s="148"/>
      <c r="O439" s="189"/>
    </row>
    <row r="440" spans="1:15" ht="14.4" customHeight="1" outlineLevel="1">
      <c r="A440" s="363"/>
      <c r="B440" s="365"/>
      <c r="C440" s="151" t="str">
        <f t="shared" si="10"/>
        <v/>
      </c>
      <c r="D440" s="115"/>
      <c r="E440" s="115"/>
      <c r="F440" s="115"/>
      <c r="G440" s="115"/>
      <c r="H440" s="115"/>
      <c r="I440" s="115"/>
      <c r="J440" s="115"/>
      <c r="K440" s="115"/>
      <c r="L440" s="115"/>
      <c r="M440" s="115"/>
      <c r="O440" s="189"/>
    </row>
    <row r="441" spans="1:15" ht="14.4" customHeight="1" outlineLevel="1">
      <c r="A441" s="363"/>
      <c r="B441" s="365"/>
      <c r="C441" s="151" t="str">
        <f t="shared" ref="C441:C506" si="11">IF(ISBLANK(E441),IF(ISBLANK(F441),"",F441),E441)</f>
        <v/>
      </c>
      <c r="D441" s="115"/>
      <c r="E441" s="142"/>
      <c r="F441" s="142"/>
      <c r="G441" s="142"/>
      <c r="H441" s="142"/>
      <c r="I441" s="142"/>
      <c r="J441" s="142"/>
      <c r="K441" s="142"/>
      <c r="L441" s="142"/>
      <c r="M441" s="115"/>
      <c r="O441" s="190"/>
    </row>
    <row r="442" spans="1:15" ht="15" customHeight="1" outlineLevel="1" thickBot="1">
      <c r="A442" s="363"/>
      <c r="B442" s="365"/>
      <c r="C442" s="151" t="str">
        <f t="shared" si="11"/>
        <v>Mix de consommation de combustibles à usages non-énergétiques dans l'industrie (%)</v>
      </c>
      <c r="D442" s="115"/>
      <c r="E442" s="634" t="s">
        <v>843</v>
      </c>
      <c r="F442" s="634"/>
      <c r="G442" s="634"/>
      <c r="H442" s="634"/>
      <c r="I442" s="634"/>
      <c r="J442" s="634"/>
      <c r="K442" s="634"/>
      <c r="L442" s="634"/>
      <c r="M442" s="115"/>
      <c r="O442" s="190"/>
    </row>
    <row r="443" spans="1:15" ht="14.4" customHeight="1" outlineLevel="2">
      <c r="A443" s="363"/>
      <c r="B443" s="365"/>
      <c r="C443" s="151" t="str">
        <f t="shared" si="11"/>
        <v>%</v>
      </c>
      <c r="D443" s="115"/>
      <c r="E443" s="322" t="s">
        <v>121</v>
      </c>
      <c r="F443" s="323">
        <v>2019</v>
      </c>
      <c r="G443" s="323">
        <v>2025</v>
      </c>
      <c r="H443" s="323">
        <v>2030</v>
      </c>
      <c r="I443" s="323">
        <v>2035</v>
      </c>
      <c r="J443" s="323">
        <v>2040</v>
      </c>
      <c r="K443" s="323">
        <v>2045</v>
      </c>
      <c r="L443" s="324">
        <v>2050</v>
      </c>
      <c r="M443" s="115"/>
      <c r="O443" s="189"/>
    </row>
    <row r="444" spans="1:15" ht="14.4" customHeight="1" outlineLevel="2">
      <c r="A444" s="363"/>
      <c r="B444" s="365"/>
      <c r="C444" s="151" t="str">
        <f t="shared" si="11"/>
        <v>Aluminium</v>
      </c>
      <c r="D444" s="115"/>
      <c r="E444" s="325" t="s">
        <v>269</v>
      </c>
      <c r="F444" s="132"/>
      <c r="G444" s="133"/>
      <c r="H444" s="133"/>
      <c r="I444" s="133"/>
      <c r="J444" s="133"/>
      <c r="K444" s="133"/>
      <c r="L444" s="461"/>
      <c r="M444" s="115"/>
      <c r="O444" s="189"/>
    </row>
    <row r="445" spans="1:15" ht="14.4" customHeight="1" outlineLevel="2">
      <c r="A445" s="363"/>
      <c r="B445" s="365"/>
      <c r="C445" s="151" t="str">
        <f t="shared" si="11"/>
        <v>Coke de pétrole</v>
      </c>
      <c r="D445" s="115"/>
      <c r="E445" s="330" t="s">
        <v>270</v>
      </c>
      <c r="F445" s="177">
        <v>1</v>
      </c>
      <c r="G445" s="174"/>
      <c r="H445" s="174">
        <v>1</v>
      </c>
      <c r="I445" s="174"/>
      <c r="J445" s="174">
        <v>1</v>
      </c>
      <c r="K445" s="174"/>
      <c r="L445" s="331">
        <v>1</v>
      </c>
      <c r="M445" s="115"/>
      <c r="O445" s="191"/>
    </row>
    <row r="446" spans="1:15" ht="14.4" customHeight="1" outlineLevel="2">
      <c r="A446" s="363"/>
      <c r="B446" s="365"/>
      <c r="C446" s="151" t="str">
        <f t="shared" si="11"/>
        <v>Biocoke</v>
      </c>
      <c r="D446" s="115"/>
      <c r="E446" s="330" t="s">
        <v>271</v>
      </c>
      <c r="F446" s="177">
        <v>0</v>
      </c>
      <c r="G446" s="174"/>
      <c r="H446" s="174">
        <v>0</v>
      </c>
      <c r="I446" s="174"/>
      <c r="J446" s="174">
        <v>0</v>
      </c>
      <c r="K446" s="174"/>
      <c r="L446" s="331">
        <v>0</v>
      </c>
      <c r="M446" s="115"/>
      <c r="O446" s="191"/>
    </row>
    <row r="447" spans="1:15" ht="14.4" customHeight="1" outlineLevel="2">
      <c r="A447" s="363"/>
      <c r="B447" s="365"/>
      <c r="C447" s="151" t="str">
        <f t="shared" si="11"/>
        <v>Anode inerte</v>
      </c>
      <c r="D447" s="115"/>
      <c r="E447" s="330" t="s">
        <v>272</v>
      </c>
      <c r="F447" s="177">
        <v>0</v>
      </c>
      <c r="G447" s="174"/>
      <c r="H447" s="174">
        <v>0</v>
      </c>
      <c r="I447" s="174"/>
      <c r="J447" s="174">
        <v>0</v>
      </c>
      <c r="K447" s="174"/>
      <c r="L447" s="331">
        <v>0</v>
      </c>
      <c r="M447" s="115"/>
      <c r="O447" s="191"/>
    </row>
    <row r="448" spans="1:15" ht="14.4" customHeight="1" outlineLevel="2">
      <c r="A448" s="363"/>
      <c r="B448" s="365"/>
      <c r="C448" s="151" t="str">
        <f t="shared" si="11"/>
        <v>Ammoniac</v>
      </c>
      <c r="D448" s="115"/>
      <c r="E448" s="325" t="s">
        <v>149</v>
      </c>
      <c r="F448" s="177"/>
      <c r="G448" s="174"/>
      <c r="H448" s="174"/>
      <c r="I448" s="174"/>
      <c r="J448" s="174"/>
      <c r="K448" s="174"/>
      <c r="L448" s="331"/>
      <c r="M448" s="115"/>
      <c r="O448" s="191"/>
    </row>
    <row r="449" spans="1:15" ht="14.4" customHeight="1" outlineLevel="2">
      <c r="A449" s="363"/>
      <c r="B449" s="365"/>
      <c r="C449" s="151" t="str">
        <f t="shared" si="11"/>
        <v>Gaz (vaporeformage)</v>
      </c>
      <c r="D449" s="115"/>
      <c r="E449" s="330" t="s">
        <v>274</v>
      </c>
      <c r="F449" s="177">
        <v>1</v>
      </c>
      <c r="G449" s="174"/>
      <c r="H449" s="174">
        <v>1</v>
      </c>
      <c r="I449" s="174"/>
      <c r="J449" s="174">
        <v>1</v>
      </c>
      <c r="K449" s="174"/>
      <c r="L449" s="331">
        <v>0.85</v>
      </c>
      <c r="M449" s="115"/>
      <c r="O449" s="191"/>
    </row>
    <row r="450" spans="1:15" s="399" customFormat="1" ht="14.4" customHeight="1" outlineLevel="2">
      <c r="A450" s="363"/>
      <c r="B450" s="365"/>
      <c r="C450" s="151" t="str">
        <f t="shared" si="11"/>
        <v>Biogaz</v>
      </c>
      <c r="D450" s="115"/>
      <c r="E450" s="330" t="s">
        <v>282</v>
      </c>
      <c r="F450" s="177">
        <v>0</v>
      </c>
      <c r="G450" s="174"/>
      <c r="H450" s="174">
        <v>0</v>
      </c>
      <c r="I450" s="174"/>
      <c r="J450" s="174">
        <v>0</v>
      </c>
      <c r="K450" s="174"/>
      <c r="L450" s="331">
        <v>0</v>
      </c>
      <c r="M450" s="115"/>
      <c r="O450" s="191"/>
    </row>
    <row r="451" spans="1:15" ht="14.4" customHeight="1" outlineLevel="2">
      <c r="A451" s="363"/>
      <c r="B451" s="365"/>
      <c r="C451" s="151" t="str">
        <f t="shared" si="11"/>
        <v>Hydrogène directe</v>
      </c>
      <c r="D451" s="115"/>
      <c r="E451" s="330" t="s">
        <v>273</v>
      </c>
      <c r="F451" s="177">
        <v>0</v>
      </c>
      <c r="G451" s="174"/>
      <c r="H451" s="174">
        <v>0</v>
      </c>
      <c r="I451" s="174"/>
      <c r="J451" s="174">
        <v>0</v>
      </c>
      <c r="K451" s="174"/>
      <c r="L451" s="331">
        <v>0.15</v>
      </c>
      <c r="M451" s="115"/>
      <c r="O451" s="191"/>
    </row>
    <row r="452" spans="1:15" ht="14.4" customHeight="1" outlineLevel="2">
      <c r="A452" s="363"/>
      <c r="B452" s="365"/>
      <c r="C452" s="151" t="str">
        <f t="shared" si="11"/>
        <v>Pétrochimie</v>
      </c>
      <c r="D452" s="115"/>
      <c r="E452" s="325" t="s">
        <v>275</v>
      </c>
      <c r="F452" s="177"/>
      <c r="G452" s="174"/>
      <c r="H452" s="174"/>
      <c r="I452" s="174"/>
      <c r="J452" s="174"/>
      <c r="K452" s="174"/>
      <c r="L452" s="331"/>
      <c r="M452" s="115"/>
      <c r="O452" s="191"/>
    </row>
    <row r="453" spans="1:15" ht="14.4" customHeight="1" outlineLevel="2">
      <c r="A453" s="363"/>
      <c r="B453" s="365"/>
      <c r="C453" s="151" t="str">
        <f t="shared" si="11"/>
        <v>Naphta</v>
      </c>
      <c r="D453" s="115"/>
      <c r="E453" s="330" t="s">
        <v>276</v>
      </c>
      <c r="F453" s="177">
        <v>1</v>
      </c>
      <c r="G453" s="174"/>
      <c r="H453" s="174">
        <v>1</v>
      </c>
      <c r="I453" s="174"/>
      <c r="J453" s="174">
        <v>1</v>
      </c>
      <c r="K453" s="174"/>
      <c r="L453" s="331">
        <v>1</v>
      </c>
      <c r="M453" s="115"/>
    </row>
    <row r="454" spans="1:15" ht="14.4" customHeight="1" outlineLevel="2">
      <c r="A454" s="363"/>
      <c r="B454" s="365"/>
      <c r="C454" s="151" t="str">
        <f t="shared" si="11"/>
        <v>Bonaphta</v>
      </c>
      <c r="D454" s="115"/>
      <c r="E454" s="330" t="s">
        <v>277</v>
      </c>
      <c r="F454" s="177">
        <v>0</v>
      </c>
      <c r="G454" s="174"/>
      <c r="H454" s="174">
        <v>0</v>
      </c>
      <c r="I454" s="174"/>
      <c r="J454" s="174">
        <v>0</v>
      </c>
      <c r="K454" s="174"/>
      <c r="L454" s="331">
        <v>0</v>
      </c>
      <c r="M454" s="115"/>
    </row>
    <row r="455" spans="1:15" ht="14.4" customHeight="1" outlineLevel="2">
      <c r="A455" s="363"/>
      <c r="B455" s="365"/>
      <c r="C455" s="151" t="str">
        <f t="shared" si="11"/>
        <v>Methanol to olefins</v>
      </c>
      <c r="D455" s="115"/>
      <c r="E455" s="330" t="s">
        <v>278</v>
      </c>
      <c r="F455" s="177">
        <v>0</v>
      </c>
      <c r="G455" s="174"/>
      <c r="H455" s="174">
        <v>0</v>
      </c>
      <c r="I455" s="174"/>
      <c r="J455" s="174">
        <v>0</v>
      </c>
      <c r="K455" s="174"/>
      <c r="L455" s="331">
        <v>0</v>
      </c>
      <c r="M455" s="115"/>
    </row>
    <row r="456" spans="1:15" outlineLevel="2">
      <c r="A456" s="363"/>
      <c r="B456" s="365"/>
      <c r="C456" s="151" t="str">
        <f t="shared" si="11"/>
        <v>Autres chimies</v>
      </c>
      <c r="D456" s="115"/>
      <c r="E456" s="325" t="s">
        <v>279</v>
      </c>
      <c r="F456" s="177"/>
      <c r="G456" s="174"/>
      <c r="H456" s="174"/>
      <c r="I456" s="174"/>
      <c r="J456" s="174"/>
      <c r="K456" s="174"/>
      <c r="L456" s="331"/>
      <c r="M456" s="115"/>
    </row>
    <row r="457" spans="1:15" outlineLevel="2">
      <c r="A457" s="363"/>
      <c r="B457" s="365"/>
      <c r="C457" s="151" t="str">
        <f t="shared" si="11"/>
        <v>Produits pétroliers</v>
      </c>
      <c r="D457" s="115"/>
      <c r="E457" s="218" t="s">
        <v>280</v>
      </c>
      <c r="F457" s="177">
        <v>0.28999999999999998</v>
      </c>
      <c r="G457" s="174"/>
      <c r="H457" s="174">
        <v>0.28999999999999998</v>
      </c>
      <c r="I457" s="174"/>
      <c r="J457" s="174">
        <v>0.28644564394135302</v>
      </c>
      <c r="K457" s="174"/>
      <c r="L457" s="331">
        <v>0.28999999999999998</v>
      </c>
      <c r="M457" s="115"/>
    </row>
    <row r="458" spans="1:15" outlineLevel="2">
      <c r="A458" s="363"/>
      <c r="B458" s="365"/>
      <c r="C458" s="151" t="str">
        <f t="shared" si="11"/>
        <v>Gaz naturel</v>
      </c>
      <c r="D458" s="115"/>
      <c r="E458" s="218" t="s">
        <v>189</v>
      </c>
      <c r="F458" s="177">
        <v>0.71</v>
      </c>
      <c r="G458" s="174"/>
      <c r="H458" s="174">
        <v>0.71</v>
      </c>
      <c r="I458" s="174"/>
      <c r="J458" s="174">
        <v>0.71355435605864703</v>
      </c>
      <c r="K458" s="174"/>
      <c r="L458" s="331">
        <v>0.71</v>
      </c>
      <c r="M458" s="115"/>
    </row>
    <row r="459" spans="1:15" outlineLevel="2">
      <c r="A459" s="363"/>
      <c r="B459" s="365"/>
      <c r="C459" s="151" t="str">
        <f t="shared" si="11"/>
        <v>Biofuel</v>
      </c>
      <c r="D459" s="115"/>
      <c r="E459" s="218" t="s">
        <v>281</v>
      </c>
      <c r="F459" s="177">
        <v>0</v>
      </c>
      <c r="G459" s="174"/>
      <c r="H459" s="174">
        <v>0</v>
      </c>
      <c r="I459" s="174"/>
      <c r="J459" s="174">
        <v>0</v>
      </c>
      <c r="K459" s="174"/>
      <c r="L459" s="331">
        <v>0</v>
      </c>
      <c r="M459" s="115"/>
    </row>
    <row r="460" spans="1:15" outlineLevel="2">
      <c r="A460" s="363"/>
      <c r="B460" s="365"/>
      <c r="C460" s="151" t="str">
        <f t="shared" si="11"/>
        <v>Biogaz</v>
      </c>
      <c r="D460" s="115"/>
      <c r="E460" s="218" t="s">
        <v>282</v>
      </c>
      <c r="F460" s="177">
        <v>0</v>
      </c>
      <c r="G460" s="174"/>
      <c r="H460" s="174">
        <v>0</v>
      </c>
      <c r="I460" s="174"/>
      <c r="J460" s="174">
        <v>0</v>
      </c>
      <c r="K460" s="174"/>
      <c r="L460" s="331">
        <v>0</v>
      </c>
      <c r="M460" s="115"/>
    </row>
    <row r="461" spans="1:15" outlineLevel="2">
      <c r="A461" s="363"/>
      <c r="B461" s="365"/>
      <c r="C461" s="151" t="str">
        <f t="shared" si="11"/>
        <v>Hydrogène directe</v>
      </c>
      <c r="D461" s="115"/>
      <c r="E461" s="218" t="s">
        <v>273</v>
      </c>
      <c r="F461" s="177">
        <v>0</v>
      </c>
      <c r="G461" s="174"/>
      <c r="H461" s="174">
        <v>0</v>
      </c>
      <c r="I461" s="174"/>
      <c r="J461" s="174">
        <v>0</v>
      </c>
      <c r="K461" s="174"/>
      <c r="L461" s="331">
        <v>0</v>
      </c>
      <c r="M461" s="115"/>
    </row>
    <row r="462" spans="1:15" outlineLevel="2">
      <c r="A462" s="363"/>
      <c r="B462" s="365"/>
      <c r="C462" s="151" t="str">
        <f t="shared" si="11"/>
        <v>Construction (bitume…)</v>
      </c>
      <c r="D462" s="115"/>
      <c r="E462" s="325" t="s">
        <v>283</v>
      </c>
      <c r="F462" s="177"/>
      <c r="G462" s="174"/>
      <c r="H462" s="174"/>
      <c r="I462" s="174"/>
      <c r="J462" s="174"/>
      <c r="K462" s="174"/>
      <c r="L462" s="331"/>
      <c r="M462" s="115"/>
    </row>
    <row r="463" spans="1:15" outlineLevel="2">
      <c r="A463" s="363"/>
      <c r="B463" s="365"/>
      <c r="C463" s="151" t="str">
        <f t="shared" si="11"/>
        <v>Pétrole</v>
      </c>
      <c r="D463" s="115"/>
      <c r="E463" s="218" t="s">
        <v>284</v>
      </c>
      <c r="F463" s="177">
        <v>1</v>
      </c>
      <c r="G463" s="174"/>
      <c r="H463" s="174">
        <v>1</v>
      </c>
      <c r="I463" s="174"/>
      <c r="J463" s="174">
        <v>1</v>
      </c>
      <c r="K463" s="174"/>
      <c r="L463" s="331">
        <v>1</v>
      </c>
      <c r="M463" s="115"/>
    </row>
    <row r="464" spans="1:15" outlineLevel="2">
      <c r="A464" s="363"/>
      <c r="B464" s="365"/>
      <c r="C464" s="151" t="str">
        <f t="shared" si="11"/>
        <v>Biopétrole</v>
      </c>
      <c r="D464" s="115"/>
      <c r="E464" s="218" t="s">
        <v>285</v>
      </c>
      <c r="F464" s="177">
        <v>0</v>
      </c>
      <c r="G464" s="174"/>
      <c r="H464" s="174">
        <v>0</v>
      </c>
      <c r="I464" s="174"/>
      <c r="J464" s="174">
        <v>0</v>
      </c>
      <c r="K464" s="174"/>
      <c r="L464" s="331">
        <v>0</v>
      </c>
      <c r="M464" s="115"/>
    </row>
    <row r="465" spans="1:13" outlineLevel="2">
      <c r="A465" s="363"/>
      <c r="B465" s="365"/>
      <c r="C465" s="151" t="str">
        <f t="shared" si="11"/>
        <v>Carburants synthétiques</v>
      </c>
      <c r="D465" s="115"/>
      <c r="E465" s="531" t="s">
        <v>188</v>
      </c>
      <c r="F465" s="554">
        <v>0</v>
      </c>
      <c r="G465" s="175"/>
      <c r="H465" s="175">
        <v>0</v>
      </c>
      <c r="I465" s="175"/>
      <c r="J465" s="175">
        <v>0</v>
      </c>
      <c r="K465" s="175"/>
      <c r="L465" s="552">
        <v>0</v>
      </c>
      <c r="M465" s="115"/>
    </row>
    <row r="466" spans="1:13" s="399" customFormat="1" outlineLevel="2">
      <c r="A466" s="363"/>
      <c r="B466" s="365"/>
      <c r="C466" s="151" t="str">
        <f>IF(ISBLANK(E463),IF(ISBLANK(F463),"",F463),E463)</f>
        <v>Pétrole</v>
      </c>
      <c r="D466" s="115"/>
      <c r="E466" s="351" t="s">
        <v>1039</v>
      </c>
      <c r="F466" s="555"/>
      <c r="G466" s="556"/>
      <c r="H466" s="556"/>
      <c r="I466" s="556"/>
      <c r="J466" s="556"/>
      <c r="K466" s="556"/>
      <c r="L466" s="557"/>
      <c r="M466" s="115"/>
    </row>
    <row r="467" spans="1:13" s="399" customFormat="1" outlineLevel="2">
      <c r="A467" s="363"/>
      <c r="B467" s="365"/>
      <c r="C467" s="151" t="str">
        <f>IF(ISBLANK(E464),IF(ISBLANK(F464),"",F464),E464)</f>
        <v>Biopétrole</v>
      </c>
      <c r="D467" s="115"/>
      <c r="E467" s="558" t="s">
        <v>1040</v>
      </c>
      <c r="F467" s="555">
        <v>1</v>
      </c>
      <c r="G467" s="556"/>
      <c r="H467" s="556">
        <v>1</v>
      </c>
      <c r="I467" s="556"/>
      <c r="J467" s="556">
        <v>1</v>
      </c>
      <c r="K467" s="556"/>
      <c r="L467" s="557">
        <v>1</v>
      </c>
      <c r="M467" s="115"/>
    </row>
    <row r="468" spans="1:13" s="399" customFormat="1" ht="15" outlineLevel="2" thickBot="1">
      <c r="A468" s="363"/>
      <c r="B468" s="365"/>
      <c r="C468" s="151" t="str">
        <f>IF(ISBLANK(E465),IF(ISBLANK(F465),"",F465),E465)</f>
        <v>Carburants synthétiques</v>
      </c>
      <c r="D468" s="115"/>
      <c r="E468" s="356" t="s">
        <v>1041</v>
      </c>
      <c r="F468" s="559">
        <v>0</v>
      </c>
      <c r="G468" s="560"/>
      <c r="H468" s="560">
        <v>0</v>
      </c>
      <c r="I468" s="560"/>
      <c r="J468" s="560">
        <v>0</v>
      </c>
      <c r="K468" s="560"/>
      <c r="L468" s="561">
        <v>0</v>
      </c>
      <c r="M468" s="115"/>
    </row>
    <row r="469" spans="1:13" outlineLevel="2">
      <c r="A469" s="363"/>
      <c r="B469" s="365"/>
      <c r="C469" s="151" t="str">
        <f t="shared" si="11"/>
        <v/>
      </c>
      <c r="D469" s="115"/>
      <c r="E469" s="610"/>
      <c r="F469" s="610"/>
      <c r="G469" s="610"/>
      <c r="H469" s="610"/>
      <c r="I469" s="610"/>
      <c r="J469" s="610"/>
      <c r="K469" s="610"/>
      <c r="L469" s="610"/>
      <c r="M469" s="115"/>
    </row>
    <row r="470" spans="1:13" outlineLevel="1">
      <c r="A470" s="363"/>
      <c r="B470" s="365"/>
      <c r="C470" s="151" t="str">
        <f t="shared" si="11"/>
        <v/>
      </c>
      <c r="D470" s="115"/>
      <c r="E470" s="142"/>
      <c r="F470" s="142"/>
      <c r="G470" s="142"/>
      <c r="H470" s="142"/>
      <c r="I470" s="142"/>
      <c r="J470" s="142"/>
      <c r="K470" s="142"/>
      <c r="L470" s="142"/>
      <c r="M470" s="115"/>
    </row>
    <row r="471" spans="1:13" ht="28.8" thickBot="1">
      <c r="A471" s="363"/>
      <c r="B471" s="365"/>
      <c r="C471" s="151" t="str">
        <f t="shared" si="11"/>
        <v>Capture et stockage du carbone</v>
      </c>
      <c r="D471" s="369"/>
      <c r="E471" s="370"/>
      <c r="F471" s="617" t="s">
        <v>286</v>
      </c>
      <c r="G471" s="617"/>
      <c r="H471" s="617"/>
      <c r="I471" s="617"/>
      <c r="J471" s="617"/>
      <c r="K471" s="617"/>
      <c r="L471" s="617"/>
      <c r="M471" s="617"/>
    </row>
    <row r="472" spans="1:13" ht="15" thickTop="1">
      <c r="A472" s="363"/>
      <c r="B472" s="365"/>
      <c r="C472" s="151" t="str">
        <f t="shared" si="11"/>
        <v/>
      </c>
      <c r="D472" s="178"/>
      <c r="E472" s="178"/>
      <c r="F472" s="178"/>
    </row>
    <row r="473" spans="1:13" outlineLevel="1">
      <c r="A473" s="126"/>
      <c r="B473" s="118"/>
      <c r="C473" s="151" t="str">
        <f t="shared" si="11"/>
        <v/>
      </c>
      <c r="D473" s="115"/>
      <c r="E473" s="142"/>
      <c r="F473" s="142"/>
      <c r="G473" s="142"/>
      <c r="H473" s="142"/>
      <c r="I473" s="142"/>
      <c r="J473" s="142"/>
      <c r="K473" s="142"/>
      <c r="L473" s="142"/>
      <c r="M473" s="115"/>
    </row>
    <row r="474" spans="1:13" ht="19.2" outlineLevel="1">
      <c r="A474" s="126"/>
      <c r="B474" s="118"/>
      <c r="C474" s="151" t="str">
        <f t="shared" si="11"/>
        <v xml:space="preserve">Commentaire
IGCE = 
Diffus = </v>
      </c>
      <c r="D474" s="115"/>
      <c r="E474" s="611" t="s">
        <v>140</v>
      </c>
      <c r="F474" s="612"/>
      <c r="G474" s="612"/>
      <c r="H474" s="612"/>
      <c r="I474" s="612"/>
      <c r="J474" s="612"/>
      <c r="K474" s="612"/>
      <c r="L474" s="612"/>
      <c r="M474" s="115"/>
    </row>
    <row r="475" spans="1:13" ht="232.2" customHeight="1" outlineLevel="1">
      <c r="A475" s="126"/>
      <c r="B475" s="118"/>
      <c r="C475" s="151" t="str">
        <f t="shared" si="11"/>
        <v xml:space="preserve">Parmi les quantités de CO2 captées, les quantités stockées sont distinguées de celles qui sont utilisées. Les premières viendront alimenter le puits technologique, les deuxièmes servent de matière première aux carburants de synthèse (les puits comptabilisés dans l’industrie se retrouvent donc en émissions dans les secteurs utilisateurs). Aussi, les émissions biogéniques sont calculées de manière à estimer les émissions négatives générées par les BECCS.
L’AME 2024 ne retient que les projets ayant déjà reçu de premiers financements pour 2030 :
- Le projet "K6" sur la cimenterie d'Eqiom à Lumbres, lauréat de du Fonds innovation européen : 245 ktCO2/an à partir de 2027-2028 pour la première phase puis une seconde phase en 2030 pour un total de 800 ktCO2/an. Seule la seconde phase a été intégrée à la modélisation au regard des faibles volumes projetés dans la première.
- Le projet "Calcc" sur le site de production de chaux de Lhoist à Réty : 580 kt/an à partir de 2027-2028, également lauréat de du Fonds innovation européen. Ces volumes ont également été comptés uniquement à partir de 2030, par conservatisme.
- Le projet 3D n’est plus compté dans le scénario tendanciel par Arcelor Mittal des feuilles de route 50 sites donc a été écarté.
- A horizon 2050, le potentiel de captage a été évalué en reprenant les scénarios tendanciels des feuilles de route 50 sites ainsi que le scénario ambitieux pour les projets apparaissant les plus crédibles, sans financement supplémentaire : Eqiom Lumbres, Lafarge Saint Pierre la Cour, Lafarge Martres-Tolosane, Vicat Montalieu et Calcia Airvault (4,9 MtCO2e)
</v>
      </c>
      <c r="D475" s="115"/>
      <c r="E475" s="613" t="s">
        <v>1042</v>
      </c>
      <c r="F475" s="614"/>
      <c r="G475" s="614"/>
      <c r="H475" s="614"/>
      <c r="I475" s="614"/>
      <c r="J475" s="614"/>
      <c r="K475" s="614"/>
      <c r="L475" s="614"/>
      <c r="M475" s="115"/>
    </row>
    <row r="476" spans="1:13" outlineLevel="1">
      <c r="A476" s="126"/>
      <c r="B476" s="118"/>
      <c r="C476" s="151" t="str">
        <f t="shared" si="11"/>
        <v/>
      </c>
      <c r="D476" s="115"/>
      <c r="E476" s="142"/>
      <c r="F476" s="142"/>
      <c r="G476" s="142"/>
      <c r="H476" s="142"/>
      <c r="I476" s="142"/>
      <c r="J476" s="142"/>
      <c r="K476" s="142"/>
      <c r="L476" s="142"/>
      <c r="M476" s="115"/>
    </row>
    <row r="477" spans="1:13" ht="15" outlineLevel="1" thickBot="1">
      <c r="A477" s="126"/>
      <c r="B477" s="118"/>
      <c r="C477" s="151" t="str">
        <f t="shared" si="11"/>
        <v>Capture et stockage par filière (MtCO2), part de CO2 capté biogénique (%), part stockée et part utilisée (%)</v>
      </c>
      <c r="D477" s="115"/>
      <c r="E477" s="627" t="s">
        <v>844</v>
      </c>
      <c r="F477" s="627"/>
      <c r="G477" s="627"/>
      <c r="H477" s="627"/>
      <c r="I477" s="627"/>
      <c r="J477" s="627"/>
      <c r="K477" s="627"/>
      <c r="L477" s="627"/>
      <c r="M477" s="115"/>
    </row>
    <row r="478" spans="1:13" outlineLevel="2">
      <c r="A478" s="126"/>
      <c r="B478" s="118"/>
      <c r="C478" s="151">
        <f t="shared" si="11"/>
        <v>2019</v>
      </c>
      <c r="D478" s="115"/>
      <c r="E478" s="322"/>
      <c r="F478" s="323">
        <v>2019</v>
      </c>
      <c r="G478" s="323">
        <v>2025</v>
      </c>
      <c r="H478" s="323">
        <v>2030</v>
      </c>
      <c r="I478" s="323">
        <v>2035</v>
      </c>
      <c r="J478" s="323">
        <v>2040</v>
      </c>
      <c r="K478" s="323">
        <v>2045</v>
      </c>
      <c r="L478" s="324">
        <v>2050</v>
      </c>
      <c r="M478" s="115"/>
    </row>
    <row r="479" spans="1:13" outlineLevel="2">
      <c r="A479" s="126"/>
      <c r="B479" s="118"/>
      <c r="C479" s="151" t="str">
        <f t="shared" si="11"/>
        <v>Métaux primaires (MtCO2)</v>
      </c>
      <c r="D479" s="115"/>
      <c r="E479" s="325" t="s">
        <v>287</v>
      </c>
      <c r="F479" s="562">
        <v>0</v>
      </c>
      <c r="G479" s="563">
        <v>0</v>
      </c>
      <c r="H479" s="563">
        <v>0</v>
      </c>
      <c r="I479" s="563">
        <v>0</v>
      </c>
      <c r="J479" s="563">
        <v>0</v>
      </c>
      <c r="K479" s="563">
        <v>0</v>
      </c>
      <c r="L479" s="564">
        <v>0.33499999999999996</v>
      </c>
      <c r="M479" s="115"/>
    </row>
    <row r="480" spans="1:13" outlineLevel="2">
      <c r="A480" s="126"/>
      <c r="B480" s="118"/>
      <c r="C480" s="151" t="str">
        <f t="shared" si="11"/>
        <v>Part de CO2 biogénique (%)</v>
      </c>
      <c r="D480" s="115"/>
      <c r="E480" s="330" t="s">
        <v>288</v>
      </c>
      <c r="F480" s="177"/>
      <c r="G480" s="174">
        <v>0.03</v>
      </c>
      <c r="H480" s="174">
        <v>0.03</v>
      </c>
      <c r="I480" s="174">
        <v>0.03</v>
      </c>
      <c r="J480" s="174">
        <v>0.03</v>
      </c>
      <c r="K480" s="174">
        <v>0.02</v>
      </c>
      <c r="L480" s="331">
        <v>0.02</v>
      </c>
      <c r="M480" s="115"/>
    </row>
    <row r="481" spans="1:13" outlineLevel="2">
      <c r="A481" s="126"/>
      <c r="B481" s="118"/>
      <c r="C481" s="151" t="str">
        <f t="shared" si="11"/>
        <v>Part stockée (%)</v>
      </c>
      <c r="D481" s="115"/>
      <c r="E481" s="330" t="s">
        <v>289</v>
      </c>
      <c r="F481" s="177"/>
      <c r="G481" s="174">
        <v>0</v>
      </c>
      <c r="H481" s="174">
        <v>0.15</v>
      </c>
      <c r="I481" s="174">
        <v>0.3</v>
      </c>
      <c r="J481" s="174">
        <v>0.45</v>
      </c>
      <c r="K481" s="174">
        <v>0.6</v>
      </c>
      <c r="L481" s="331">
        <v>0.75</v>
      </c>
      <c r="M481" s="115"/>
    </row>
    <row r="482" spans="1:13" outlineLevel="2">
      <c r="A482" s="126"/>
      <c r="B482" s="118"/>
      <c r="C482" s="151" t="str">
        <f t="shared" si="11"/>
        <v>Part utilisée (%)</v>
      </c>
      <c r="D482" s="115"/>
      <c r="E482" s="330" t="s">
        <v>290</v>
      </c>
      <c r="F482" s="177"/>
      <c r="G482" s="174">
        <v>1</v>
      </c>
      <c r="H482" s="174">
        <v>0.85</v>
      </c>
      <c r="I482" s="174">
        <v>0.7</v>
      </c>
      <c r="J482" s="174">
        <v>0.55000000000000004</v>
      </c>
      <c r="K482" s="174">
        <v>0.4</v>
      </c>
      <c r="L482" s="331">
        <v>0.25</v>
      </c>
      <c r="M482" s="115"/>
    </row>
    <row r="483" spans="1:13" outlineLevel="2">
      <c r="A483" s="126"/>
      <c r="B483" s="118"/>
      <c r="C483" s="151" t="str">
        <f t="shared" si="11"/>
        <v>Chimie (MtCO2)</v>
      </c>
      <c r="D483" s="115"/>
      <c r="E483" s="325" t="s">
        <v>291</v>
      </c>
      <c r="F483" s="182">
        <v>0</v>
      </c>
      <c r="G483" s="183">
        <v>0</v>
      </c>
      <c r="H483" s="183">
        <v>0</v>
      </c>
      <c r="I483" s="183">
        <v>0.43926499999999979</v>
      </c>
      <c r="J483" s="183">
        <v>0.96068999999999982</v>
      </c>
      <c r="K483" s="183">
        <v>1.64269</v>
      </c>
      <c r="L483" s="553">
        <v>1.9426899999999998</v>
      </c>
      <c r="M483" s="115"/>
    </row>
    <row r="484" spans="1:13" outlineLevel="2">
      <c r="A484" s="126"/>
      <c r="B484" s="118"/>
      <c r="C484" s="151" t="str">
        <f t="shared" si="11"/>
        <v>Part de CO2 biogénique (%)</v>
      </c>
      <c r="D484" s="115"/>
      <c r="E484" s="330" t="s">
        <v>288</v>
      </c>
      <c r="F484" s="177"/>
      <c r="G484" s="174">
        <v>0</v>
      </c>
      <c r="H484" s="174">
        <v>0</v>
      </c>
      <c r="I484" s="174">
        <v>0</v>
      </c>
      <c r="J484" s="174">
        <v>0</v>
      </c>
      <c r="K484" s="174">
        <v>0</v>
      </c>
      <c r="L484" s="331">
        <v>0</v>
      </c>
      <c r="M484" s="115"/>
    </row>
    <row r="485" spans="1:13" outlineLevel="2">
      <c r="A485" s="126"/>
      <c r="B485" s="118"/>
      <c r="C485" s="151" t="str">
        <f t="shared" si="11"/>
        <v>Part stockée (%)</v>
      </c>
      <c r="D485" s="115"/>
      <c r="E485" s="330" t="s">
        <v>289</v>
      </c>
      <c r="F485" s="177"/>
      <c r="G485" s="174">
        <v>0</v>
      </c>
      <c r="H485" s="174">
        <v>0</v>
      </c>
      <c r="I485" s="174">
        <v>0</v>
      </c>
      <c r="J485" s="174">
        <v>0</v>
      </c>
      <c r="K485" s="174">
        <v>0</v>
      </c>
      <c r="L485" s="331">
        <v>0</v>
      </c>
      <c r="M485" s="115"/>
    </row>
    <row r="486" spans="1:13" outlineLevel="2">
      <c r="A486" s="126"/>
      <c r="B486" s="118"/>
      <c r="C486" s="151" t="str">
        <f t="shared" si="11"/>
        <v>Part utilisée (%)</v>
      </c>
      <c r="D486" s="115"/>
      <c r="E486" s="330" t="s">
        <v>290</v>
      </c>
      <c r="F486" s="177"/>
      <c r="G486" s="174">
        <v>1</v>
      </c>
      <c r="H486" s="174">
        <v>1</v>
      </c>
      <c r="I486" s="174">
        <v>1</v>
      </c>
      <c r="J486" s="174">
        <v>1</v>
      </c>
      <c r="K486" s="174">
        <v>1</v>
      </c>
      <c r="L486" s="331">
        <v>1</v>
      </c>
      <c r="M486" s="115"/>
    </row>
    <row r="487" spans="1:13" outlineLevel="2">
      <c r="A487" s="126"/>
      <c r="B487" s="118"/>
      <c r="C487" s="151" t="str">
        <f t="shared" si="11"/>
        <v>Non-métalliques (MtCO2)</v>
      </c>
      <c r="D487" s="115"/>
      <c r="E487" s="325" t="s">
        <v>292</v>
      </c>
      <c r="F487" s="182">
        <v>0</v>
      </c>
      <c r="G487" s="183">
        <v>0</v>
      </c>
      <c r="H487" s="183">
        <v>1.38</v>
      </c>
      <c r="I487" s="183">
        <v>2.0575000000000001</v>
      </c>
      <c r="J487" s="183">
        <v>2.7350000000000003</v>
      </c>
      <c r="K487" s="183">
        <v>3.4125000000000005</v>
      </c>
      <c r="L487" s="553">
        <v>4.09</v>
      </c>
      <c r="M487" s="115"/>
    </row>
    <row r="488" spans="1:13" outlineLevel="2">
      <c r="A488" s="126"/>
      <c r="B488" s="118"/>
      <c r="C488" s="151" t="str">
        <f t="shared" si="11"/>
        <v>Part de CO2 biogénique (%)</v>
      </c>
      <c r="D488" s="115"/>
      <c r="E488" s="330" t="s">
        <v>288</v>
      </c>
      <c r="F488" s="177"/>
      <c r="G488" s="174">
        <v>0.14000000000000001</v>
      </c>
      <c r="H488" s="174">
        <v>0.14000000000000001</v>
      </c>
      <c r="I488" s="174">
        <v>0.14000000000000001</v>
      </c>
      <c r="J488" s="174">
        <v>0.14000000000000001</v>
      </c>
      <c r="K488" s="174">
        <v>0.14000000000000001</v>
      </c>
      <c r="L488" s="331">
        <v>0.14000000000000001</v>
      </c>
      <c r="M488" s="115"/>
    </row>
    <row r="489" spans="1:13" outlineLevel="2">
      <c r="A489" s="126"/>
      <c r="B489" s="118"/>
      <c r="C489" s="151" t="str">
        <f t="shared" si="11"/>
        <v>Part stockée (%)</v>
      </c>
      <c r="D489" s="115"/>
      <c r="E489" s="330" t="s">
        <v>289</v>
      </c>
      <c r="F489" s="177"/>
      <c r="G489" s="174">
        <v>1</v>
      </c>
      <c r="H489" s="174">
        <v>1</v>
      </c>
      <c r="I489" s="174">
        <v>1</v>
      </c>
      <c r="J489" s="174">
        <v>1</v>
      </c>
      <c r="K489" s="174">
        <v>1</v>
      </c>
      <c r="L489" s="331">
        <v>1</v>
      </c>
      <c r="M489" s="115"/>
    </row>
    <row r="490" spans="1:13" outlineLevel="2">
      <c r="A490" s="126"/>
      <c r="B490" s="118"/>
      <c r="C490" s="151" t="str">
        <f t="shared" si="11"/>
        <v>Part utilisée (%)</v>
      </c>
      <c r="D490" s="115"/>
      <c r="E490" s="330" t="s">
        <v>290</v>
      </c>
      <c r="F490" s="177"/>
      <c r="G490" s="174">
        <v>0</v>
      </c>
      <c r="H490" s="174">
        <v>0</v>
      </c>
      <c r="I490" s="174">
        <v>0</v>
      </c>
      <c r="J490" s="174">
        <v>0</v>
      </c>
      <c r="K490" s="174">
        <v>0</v>
      </c>
      <c r="L490" s="331">
        <v>0</v>
      </c>
      <c r="M490" s="115"/>
    </row>
    <row r="491" spans="1:13" outlineLevel="2">
      <c r="A491" s="126"/>
      <c r="B491" s="118"/>
      <c r="C491" s="151" t="str">
        <f t="shared" si="11"/>
        <v>Industrie agroalimentaire (MtCO2)</v>
      </c>
      <c r="D491" s="115"/>
      <c r="E491" s="325" t="s">
        <v>293</v>
      </c>
      <c r="F491" s="182">
        <v>0</v>
      </c>
      <c r="G491" s="183">
        <v>0</v>
      </c>
      <c r="H491" s="183">
        <v>0</v>
      </c>
      <c r="I491" s="183">
        <v>0</v>
      </c>
      <c r="J491" s="183">
        <v>0</v>
      </c>
      <c r="K491" s="183">
        <v>0</v>
      </c>
      <c r="L491" s="553">
        <v>0</v>
      </c>
      <c r="M491" s="115"/>
    </row>
    <row r="492" spans="1:13" outlineLevel="2">
      <c r="A492" s="126"/>
      <c r="B492" s="118"/>
      <c r="C492" s="151" t="str">
        <f t="shared" si="11"/>
        <v>Part de CO2 biogénique (%)</v>
      </c>
      <c r="D492" s="115"/>
      <c r="E492" s="330" t="s">
        <v>288</v>
      </c>
      <c r="F492" s="177"/>
      <c r="G492" s="174">
        <v>0.19</v>
      </c>
      <c r="H492" s="174">
        <v>0.19</v>
      </c>
      <c r="I492" s="174">
        <v>0.22</v>
      </c>
      <c r="J492" s="174">
        <v>0.25</v>
      </c>
      <c r="K492" s="174">
        <v>0.28000000000000003</v>
      </c>
      <c r="L492" s="331">
        <v>0.31</v>
      </c>
      <c r="M492" s="115"/>
    </row>
    <row r="493" spans="1:13" outlineLevel="2">
      <c r="A493" s="126"/>
      <c r="B493" s="118"/>
      <c r="C493" s="151" t="str">
        <f t="shared" si="11"/>
        <v>Part stockée (%)</v>
      </c>
      <c r="D493" s="115"/>
      <c r="E493" s="330" t="s">
        <v>289</v>
      </c>
      <c r="F493" s="177"/>
      <c r="G493" s="174">
        <v>0.8</v>
      </c>
      <c r="H493" s="174">
        <v>0.8</v>
      </c>
      <c r="I493" s="174">
        <v>0.75</v>
      </c>
      <c r="J493" s="174">
        <v>0.7</v>
      </c>
      <c r="K493" s="174">
        <v>0.65</v>
      </c>
      <c r="L493" s="331">
        <v>0.6</v>
      </c>
      <c r="M493" s="115"/>
    </row>
    <row r="494" spans="1:13" outlineLevel="2">
      <c r="A494" s="126"/>
      <c r="B494" s="118"/>
      <c r="C494" s="151" t="str">
        <f t="shared" si="11"/>
        <v>Part utilisée (%)</v>
      </c>
      <c r="D494" s="115"/>
      <c r="E494" s="330" t="s">
        <v>290</v>
      </c>
      <c r="F494" s="177"/>
      <c r="G494" s="174">
        <v>0.2</v>
      </c>
      <c r="H494" s="174">
        <v>0.2</v>
      </c>
      <c r="I494" s="174">
        <v>0.25</v>
      </c>
      <c r="J494" s="174">
        <v>0.3</v>
      </c>
      <c r="K494" s="174">
        <v>0.35</v>
      </c>
      <c r="L494" s="331">
        <v>0.4</v>
      </c>
      <c r="M494" s="115"/>
    </row>
    <row r="495" spans="1:13" outlineLevel="2">
      <c r="A495" s="126"/>
      <c r="B495" s="118"/>
      <c r="C495" s="151" t="str">
        <f t="shared" si="11"/>
        <v>Autres (MtCO2)</v>
      </c>
      <c r="D495" s="115"/>
      <c r="E495" s="325" t="s">
        <v>294</v>
      </c>
      <c r="F495" s="182">
        <v>0</v>
      </c>
      <c r="G495" s="183">
        <v>0</v>
      </c>
      <c r="H495" s="183">
        <v>0</v>
      </c>
      <c r="I495" s="183">
        <v>0</v>
      </c>
      <c r="J495" s="183">
        <v>0</v>
      </c>
      <c r="K495" s="183">
        <v>0</v>
      </c>
      <c r="L495" s="553">
        <v>0</v>
      </c>
      <c r="M495" s="115"/>
    </row>
    <row r="496" spans="1:13" outlineLevel="2">
      <c r="A496" s="126"/>
      <c r="B496" s="118"/>
      <c r="C496" s="151" t="str">
        <f t="shared" si="11"/>
        <v>Part de CO2 biogénique (%)</v>
      </c>
      <c r="D496" s="115"/>
      <c r="E496" s="330" t="s">
        <v>288</v>
      </c>
      <c r="F496" s="177"/>
      <c r="G496" s="174">
        <v>0.61</v>
      </c>
      <c r="H496" s="174">
        <v>0.61</v>
      </c>
      <c r="I496" s="174">
        <v>0.61</v>
      </c>
      <c r="J496" s="174">
        <v>0.6</v>
      </c>
      <c r="K496" s="174">
        <v>0.6</v>
      </c>
      <c r="L496" s="331">
        <v>0.59</v>
      </c>
      <c r="M496" s="115"/>
    </row>
    <row r="497" spans="1:13" outlineLevel="2">
      <c r="A497" s="126"/>
      <c r="B497" s="118"/>
      <c r="C497" s="151" t="str">
        <f t="shared" si="11"/>
        <v>Part stockée (%)</v>
      </c>
      <c r="D497" s="115"/>
      <c r="E497" s="330" t="s">
        <v>289</v>
      </c>
      <c r="F497" s="177"/>
      <c r="G497" s="174">
        <v>0.8</v>
      </c>
      <c r="H497" s="174">
        <v>0.8</v>
      </c>
      <c r="I497" s="174">
        <v>0.75</v>
      </c>
      <c r="J497" s="174">
        <v>0.7</v>
      </c>
      <c r="K497" s="174">
        <v>0.65</v>
      </c>
      <c r="L497" s="331">
        <v>0.6</v>
      </c>
      <c r="M497" s="115"/>
    </row>
    <row r="498" spans="1:13" ht="15" outlineLevel="2" thickBot="1">
      <c r="A498" s="126"/>
      <c r="B498" s="118"/>
      <c r="C498" s="151" t="str">
        <f t="shared" si="11"/>
        <v>Part utilisée (%)</v>
      </c>
      <c r="D498" s="115"/>
      <c r="E498" s="332" t="s">
        <v>290</v>
      </c>
      <c r="F498" s="333"/>
      <c r="G498" s="334">
        <v>0.2</v>
      </c>
      <c r="H498" s="334">
        <v>0.2</v>
      </c>
      <c r="I498" s="334">
        <v>0.25</v>
      </c>
      <c r="J498" s="334">
        <v>0.3</v>
      </c>
      <c r="K498" s="334">
        <v>0.35</v>
      </c>
      <c r="L498" s="335">
        <v>0.4</v>
      </c>
      <c r="M498" s="115"/>
    </row>
    <row r="499" spans="1:13" outlineLevel="2">
      <c r="A499" s="126"/>
      <c r="B499" s="118"/>
      <c r="C499" s="151" t="str">
        <f t="shared" si="11"/>
        <v/>
      </c>
      <c r="D499" s="115"/>
      <c r="E499" s="610"/>
      <c r="F499" s="610"/>
      <c r="G499" s="610"/>
      <c r="H499" s="610"/>
      <c r="I499" s="610"/>
      <c r="J499" s="610"/>
      <c r="K499" s="610"/>
      <c r="L499" s="610"/>
      <c r="M499" s="115"/>
    </row>
    <row r="500" spans="1:13" outlineLevel="1">
      <c r="A500" s="126"/>
      <c r="B500" s="118"/>
      <c r="C500" s="151" t="str">
        <f t="shared" si="11"/>
        <v/>
      </c>
      <c r="D500" s="115"/>
      <c r="E500" s="142"/>
      <c r="F500" s="142"/>
      <c r="G500" s="142"/>
      <c r="H500" s="142"/>
      <c r="I500" s="142"/>
      <c r="J500" s="142"/>
      <c r="K500" s="142"/>
      <c r="L500" s="407"/>
      <c r="M500" s="115"/>
    </row>
    <row r="501" spans="1:13" ht="15" outlineLevel="1" thickBot="1">
      <c r="A501" s="126"/>
      <c r="B501" s="118"/>
      <c r="C501" s="151" t="str">
        <f t="shared" si="11"/>
        <v>Captage et valorisation du carbone dans l'industrie au total (MtCO2)</v>
      </c>
      <c r="D501" s="115"/>
      <c r="E501" s="627" t="s">
        <v>1043</v>
      </c>
      <c r="F501" s="627"/>
      <c r="G501" s="627"/>
      <c r="H501" s="627"/>
      <c r="I501" s="627"/>
      <c r="J501" s="627"/>
      <c r="K501" s="627"/>
      <c r="L501" s="627"/>
      <c r="M501" s="115"/>
    </row>
    <row r="502" spans="1:13" outlineLevel="2">
      <c r="A502" s="126"/>
      <c r="B502" s="118"/>
      <c r="C502" s="151" t="str">
        <f t="shared" si="11"/>
        <v>MtCO2e (CCUS inclus)</v>
      </c>
      <c r="D502" s="115"/>
      <c r="E502" s="322" t="s">
        <v>1054</v>
      </c>
      <c r="F502" s="323">
        <v>2019</v>
      </c>
      <c r="G502" s="323">
        <v>2025</v>
      </c>
      <c r="H502" s="323">
        <v>2030</v>
      </c>
      <c r="I502" s="323">
        <v>2035</v>
      </c>
      <c r="J502" s="323">
        <v>2040</v>
      </c>
      <c r="K502" s="323">
        <v>2045</v>
      </c>
      <c r="L502" s="324">
        <v>2050</v>
      </c>
      <c r="M502" s="115"/>
    </row>
    <row r="503" spans="1:13" outlineLevel="2">
      <c r="A503" s="126"/>
      <c r="B503" s="118"/>
      <c r="C503" s="151" t="str">
        <f t="shared" si="11"/>
        <v>Total CO2 capté</v>
      </c>
      <c r="D503" s="115"/>
      <c r="E503" s="325" t="s">
        <v>295</v>
      </c>
      <c r="F503" s="562">
        <f>SUM(F479,F483,F487,F491,F495)</f>
        <v>0</v>
      </c>
      <c r="G503" s="563">
        <f t="shared" ref="G503:L503" si="12">SUM(G479,G483,G487,G491,G495)</f>
        <v>0</v>
      </c>
      <c r="H503" s="563">
        <f t="shared" si="12"/>
        <v>1.38</v>
      </c>
      <c r="I503" s="563">
        <f t="shared" si="12"/>
        <v>2.4967649999999999</v>
      </c>
      <c r="J503" s="563">
        <f t="shared" si="12"/>
        <v>3.6956899999999999</v>
      </c>
      <c r="K503" s="563">
        <f t="shared" si="12"/>
        <v>5.0551900000000005</v>
      </c>
      <c r="L503" s="564">
        <f t="shared" si="12"/>
        <v>6.3676899999999996</v>
      </c>
      <c r="M503" s="115"/>
    </row>
    <row r="504" spans="1:13" outlineLevel="2">
      <c r="A504" s="126"/>
      <c r="B504" s="118"/>
      <c r="C504" s="151" t="str">
        <f t="shared" si="11"/>
        <v>Dont CCS fossile</v>
      </c>
      <c r="D504" s="115"/>
      <c r="E504" s="330" t="s">
        <v>296</v>
      </c>
      <c r="F504" s="317">
        <f>F479*(1-F480)*F481+F483*(1-F484)*F485+F487*(1-F488)*F489+F491*(1-F492)*F493+F495*(1-F496)*F497</f>
        <v>0</v>
      </c>
      <c r="G504" s="318">
        <f t="shared" ref="G504:K504" si="13">G479*(1-G480)*G481+G483*(1-G484)*G485+G487*(1-G488)*G489+G491*(1-G492)*G493+G495*(1-G496)*G497</f>
        <v>0</v>
      </c>
      <c r="H504" s="318">
        <f t="shared" si="13"/>
        <v>1.1867999999999999</v>
      </c>
      <c r="I504" s="318">
        <f t="shared" si="13"/>
        <v>1.76945</v>
      </c>
      <c r="J504" s="318">
        <f>J479*(1-J480)*J481+J483*(1-J484)*J485+J487*(1-J488)*J489+J491*(1-J492)*J493+J495*(1-J496)*J497</f>
        <v>2.3521000000000001</v>
      </c>
      <c r="K504" s="318">
        <f t="shared" si="13"/>
        <v>2.9347500000000002</v>
      </c>
      <c r="L504" s="565">
        <f>L479*(1-L480)*L481+L483*(1-L484)*L485+L487*(1-L488)*L489+L491*(1-L492)*L493+L495*(1-L496)*L497</f>
        <v>3.7636249999999998</v>
      </c>
      <c r="M504" s="115"/>
    </row>
    <row r="505" spans="1:13" outlineLevel="2">
      <c r="A505" s="126"/>
      <c r="B505" s="118"/>
      <c r="C505" s="151" t="str">
        <f t="shared" si="11"/>
        <v>Dont CCU fossile</v>
      </c>
      <c r="D505" s="115"/>
      <c r="E505" s="330" t="s">
        <v>297</v>
      </c>
      <c r="F505" s="317">
        <f>F479*(1-F480)*F482+F483*(1-F484)*F486+F487*(1-F488)*F490+F491*(1-F492)*F494+F495*(1-F496)*F498</f>
        <v>0</v>
      </c>
      <c r="G505" s="318">
        <f t="shared" ref="G505:L505" si="14">G479*(1-G480)*G482+G483*(1-G484)*G486+G487*(1-G488)*G490+G491*(1-G492)*G494+G495*(1-G496)*G498</f>
        <v>0</v>
      </c>
      <c r="H505" s="318">
        <f t="shared" si="14"/>
        <v>0</v>
      </c>
      <c r="I505" s="318">
        <f t="shared" si="14"/>
        <v>0.43926499999999979</v>
      </c>
      <c r="J505" s="318">
        <f>J479*(1-J480)*J482+J483*(1-J484)*J486+J487*(1-J488)*J490+J491*(1-J492)*J494+J495*(1-J496)*J498</f>
        <v>0.96068999999999982</v>
      </c>
      <c r="K505" s="318">
        <f t="shared" si="14"/>
        <v>1.64269</v>
      </c>
      <c r="L505" s="565">
        <f t="shared" si="14"/>
        <v>2.0247649999999999</v>
      </c>
      <c r="M505" s="115"/>
    </row>
    <row r="506" spans="1:13" outlineLevel="2">
      <c r="A506" s="126"/>
      <c r="B506" s="118"/>
      <c r="C506" s="151" t="str">
        <f t="shared" si="11"/>
        <v>Dont BECCS</v>
      </c>
      <c r="D506" s="115"/>
      <c r="E506" s="330" t="s">
        <v>298</v>
      </c>
      <c r="F506" s="317">
        <f>F479*(F480)*F481+F483*(F484)*F485+F487*(F488)*F489+F491*(F492)*F493+F495*(F496)*F497</f>
        <v>0</v>
      </c>
      <c r="G506" s="318">
        <f t="shared" ref="G506:L506" si="15">G479*(G480)*G481+G483*(G484)*G485+G487*(G488)*G489+G491*(G492)*G493+G495*(G496)*G497</f>
        <v>0</v>
      </c>
      <c r="H506" s="318">
        <f t="shared" si="15"/>
        <v>0.19320000000000001</v>
      </c>
      <c r="I506" s="318">
        <f t="shared" si="15"/>
        <v>0.28805000000000003</v>
      </c>
      <c r="J506" s="318">
        <f>J479*(J480)*J481+J483*(J484)*J485+J487*(J488)*J489+J491*(J492)*J493+J495*(J496)*J497</f>
        <v>0.38290000000000007</v>
      </c>
      <c r="K506" s="318">
        <f t="shared" si="15"/>
        <v>0.47775000000000012</v>
      </c>
      <c r="L506" s="565">
        <f t="shared" si="15"/>
        <v>0.57762499999999994</v>
      </c>
      <c r="M506" s="115"/>
    </row>
    <row r="507" spans="1:13" ht="15" outlineLevel="2" thickBot="1">
      <c r="A507" s="126"/>
      <c r="B507" s="118"/>
      <c r="C507" s="151" t="str">
        <f t="shared" ref="C507:C581" si="16">IF(ISBLANK(E507),IF(ISBLANK(F507),"",F507),E507)</f>
        <v>Dont BECCU</v>
      </c>
      <c r="D507" s="115"/>
      <c r="E507" s="332" t="s">
        <v>299</v>
      </c>
      <c r="F507" s="505">
        <f>F479*(F480)*F482+F483*(F484)*F486+F487*(F488)*F490+F491*(F492)*F494+F495*(F496)*F498</f>
        <v>0</v>
      </c>
      <c r="G507" s="506">
        <f t="shared" ref="G507:L507" si="17">G479*(G480)*G482+G483*(G484)*G486+G487*(G488)*G490+G491*(G492)*G494+G495*(G496)*G498</f>
        <v>0</v>
      </c>
      <c r="H507" s="506">
        <f t="shared" si="17"/>
        <v>0</v>
      </c>
      <c r="I507" s="506">
        <f t="shared" si="17"/>
        <v>0</v>
      </c>
      <c r="J507" s="506">
        <f>J479*(J480)*J482+J483*(J484)*J486+J487*(J488)*J490+J491*(J492)*J494+J495*(J496)*J498</f>
        <v>0</v>
      </c>
      <c r="K507" s="506">
        <f t="shared" si="17"/>
        <v>0</v>
      </c>
      <c r="L507" s="507">
        <f t="shared" si="17"/>
        <v>1.6749999999999998E-3</v>
      </c>
      <c r="M507" s="115"/>
    </row>
    <row r="508" spans="1:13" outlineLevel="2">
      <c r="A508" s="126"/>
      <c r="B508" s="118"/>
      <c r="C508" s="151" t="str">
        <f t="shared" si="16"/>
        <v/>
      </c>
      <c r="D508" s="115"/>
      <c r="E508" s="142"/>
      <c r="F508" s="142"/>
      <c r="G508" s="142"/>
      <c r="H508" s="142"/>
      <c r="I508" s="142"/>
      <c r="J508" s="142"/>
      <c r="K508" s="142"/>
      <c r="L508" s="142"/>
      <c r="M508" s="115"/>
    </row>
    <row r="509" spans="1:13" outlineLevel="1">
      <c r="A509" s="126"/>
      <c r="B509" s="118"/>
      <c r="C509" s="151" t="str">
        <f t="shared" si="16"/>
        <v/>
      </c>
      <c r="D509" s="115"/>
      <c r="E509" s="142"/>
      <c r="F509" s="142"/>
      <c r="G509" s="142"/>
      <c r="H509" s="142"/>
      <c r="I509" s="142"/>
      <c r="J509" s="142"/>
      <c r="K509" s="142"/>
      <c r="L509" s="142"/>
      <c r="M509" s="115"/>
    </row>
    <row r="510" spans="1:13">
      <c r="A510" s="114"/>
      <c r="C510" s="151" t="str">
        <f t="shared" si="16"/>
        <v/>
      </c>
      <c r="D510" s="629"/>
      <c r="E510" s="629"/>
      <c r="F510" s="629"/>
      <c r="G510" s="629"/>
      <c r="H510" s="110"/>
      <c r="I510" s="110"/>
      <c r="J510" s="110"/>
    </row>
    <row r="511" spans="1:13" ht="28.8" thickBot="1">
      <c r="A511" s="366"/>
      <c r="C511" s="151" t="str">
        <f t="shared" si="16"/>
        <v>Résultats</v>
      </c>
      <c r="D511" s="371"/>
      <c r="E511" s="635" t="s">
        <v>137</v>
      </c>
      <c r="F511" s="635"/>
      <c r="G511" s="635"/>
      <c r="H511" s="635"/>
      <c r="I511" s="635"/>
      <c r="J511" s="635"/>
      <c r="K511" s="635"/>
      <c r="L511" s="635"/>
      <c r="M511" s="371"/>
    </row>
    <row r="512" spans="1:13" ht="15" thickTop="1">
      <c r="A512" s="366"/>
      <c r="C512" s="151" t="str">
        <f t="shared" si="16"/>
        <v/>
      </c>
      <c r="D512" s="3"/>
      <c r="E512" s="3"/>
      <c r="F512" s="3"/>
      <c r="G512" s="3"/>
      <c r="H512" s="3"/>
      <c r="I512" s="3"/>
      <c r="J512" s="3"/>
      <c r="K512" s="3"/>
      <c r="L512" s="3"/>
      <c r="M512" s="3"/>
    </row>
    <row r="513" spans="1:13" ht="15.6">
      <c r="A513" s="366"/>
      <c r="C513" s="151" t="str">
        <f t="shared" si="16"/>
        <v/>
      </c>
      <c r="D513" s="112"/>
      <c r="E513" s="113"/>
      <c r="F513" s="113"/>
      <c r="G513" s="113"/>
      <c r="H513" s="113"/>
      <c r="I513" s="113"/>
      <c r="J513" s="113"/>
      <c r="K513" s="113"/>
      <c r="L513" s="113"/>
      <c r="M513" s="3"/>
    </row>
    <row r="514" spans="1:13" ht="28.8" thickBot="1">
      <c r="A514" s="366"/>
      <c r="B514" s="367"/>
      <c r="C514" s="151" t="str">
        <f t="shared" si="16"/>
        <v>Consommations d'énergie</v>
      </c>
      <c r="D514" s="371"/>
      <c r="E514" s="372"/>
      <c r="F514" s="635" t="s">
        <v>141</v>
      </c>
      <c r="G514" s="635"/>
      <c r="H514" s="635"/>
      <c r="I514" s="635"/>
      <c r="J514" s="635"/>
      <c r="K514" s="635"/>
      <c r="L514" s="635"/>
      <c r="M514" s="635"/>
    </row>
    <row r="515" spans="1:13" ht="15" thickTop="1">
      <c r="A515" s="366"/>
      <c r="B515" s="367"/>
      <c r="C515" s="151" t="str">
        <f t="shared" si="16"/>
        <v/>
      </c>
    </row>
    <row r="516" spans="1:13" outlineLevel="1">
      <c r="A516" s="366"/>
      <c r="B516" s="367"/>
      <c r="C516" s="151" t="str">
        <f t="shared" si="16"/>
        <v/>
      </c>
      <c r="D516" s="115"/>
      <c r="E516" s="115"/>
      <c r="F516" s="115"/>
      <c r="G516" s="115"/>
      <c r="H516" s="115"/>
      <c r="I516" s="115"/>
      <c r="J516" s="115"/>
      <c r="K516" s="115"/>
      <c r="L516" s="115"/>
      <c r="M516" s="115"/>
    </row>
    <row r="517" spans="1:13" outlineLevel="1">
      <c r="A517" s="366"/>
      <c r="B517" s="367"/>
      <c r="C517" s="151" t="str">
        <f t="shared" si="16"/>
        <v/>
      </c>
      <c r="D517" s="115"/>
      <c r="E517" s="115"/>
      <c r="F517" s="115"/>
      <c r="G517" s="115"/>
      <c r="H517" s="115"/>
      <c r="I517" s="115"/>
      <c r="J517" s="115"/>
      <c r="K517" s="115"/>
      <c r="L517" s="115"/>
      <c r="M517" s="115"/>
    </row>
    <row r="518" spans="1:13" ht="15" outlineLevel="1" thickBot="1">
      <c r="A518" s="366"/>
      <c r="B518" s="367"/>
      <c r="C518" s="151" t="str">
        <f t="shared" si="16"/>
        <v>Evolution des consommations d'énergie à usages énergétiques dans l'industrie (TWh)</v>
      </c>
      <c r="D518" s="115"/>
      <c r="E518" s="615" t="s">
        <v>1101</v>
      </c>
      <c r="F518" s="615"/>
      <c r="G518" s="615"/>
      <c r="H518" s="615"/>
      <c r="I518" s="615"/>
      <c r="J518" s="615"/>
      <c r="K518" s="615"/>
      <c r="L518" s="615"/>
      <c r="M518" s="115"/>
    </row>
    <row r="519" spans="1:13" outlineLevel="2">
      <c r="A519" s="366"/>
      <c r="B519" s="367"/>
      <c r="C519" s="151" t="str">
        <f t="shared" si="16"/>
        <v>TWh PCI</v>
      </c>
      <c r="D519" s="115"/>
      <c r="E519" s="119" t="s">
        <v>1103</v>
      </c>
      <c r="F519" s="228">
        <v>2021</v>
      </c>
      <c r="G519" s="228">
        <v>2025</v>
      </c>
      <c r="H519" s="228">
        <v>2030</v>
      </c>
      <c r="I519" s="228">
        <v>2035</v>
      </c>
      <c r="J519" s="228">
        <v>2040</v>
      </c>
      <c r="K519" s="228">
        <v>2045</v>
      </c>
      <c r="L519" s="229">
        <v>2050</v>
      </c>
      <c r="M519" s="115"/>
    </row>
    <row r="520" spans="1:13" outlineLevel="2">
      <c r="A520" s="366"/>
      <c r="B520" s="367"/>
      <c r="C520" s="151" t="str">
        <f t="shared" si="16"/>
        <v>Charbon</v>
      </c>
      <c r="D520" s="116"/>
      <c r="E520" s="122" t="s">
        <v>185</v>
      </c>
      <c r="F520" s="135">
        <f t="array" ref="F520:F537">TRANSPOSE(Bilans!F113:W113)</f>
        <v>10.499518224319999</v>
      </c>
      <c r="G520" s="136">
        <f t="array" ref="G520:G537">TRANSPOSE(Bilans!F183:W183)</f>
        <v>8.4670468750000012</v>
      </c>
      <c r="H520" s="136">
        <f t="array" ref="H520:H537">TRANSPOSE(Bilans!F253:W253)</f>
        <v>5.4148142938410189</v>
      </c>
      <c r="I520" s="136">
        <f t="array" ref="I520:I537">TRANSPOSE(Bilans!F323:W323)</f>
        <v>5.5050017452883839</v>
      </c>
      <c r="J520" s="136">
        <f t="array" ref="J520:J537">TRANSPOSE(Bilans!F393:W393)</f>
        <v>5.471099479030137</v>
      </c>
      <c r="K520" s="136">
        <f t="array" ref="K520:K537">TRANSPOSE(Bilans!F463:W463)</f>
        <v>5.3400724478178674</v>
      </c>
      <c r="L520" s="137">
        <f t="array" ref="L520:L537">TRANSPOSE(Bilans!F498:W498)</f>
        <v>5.0447988684294867</v>
      </c>
      <c r="M520" s="115"/>
    </row>
    <row r="521" spans="1:13" outlineLevel="2">
      <c r="A521" s="366"/>
      <c r="B521" s="367"/>
      <c r="C521" s="151" t="str">
        <f t="shared" si="16"/>
        <v>Pétrole brut</v>
      </c>
      <c r="D521" s="117"/>
      <c r="E521" s="122" t="s">
        <v>186</v>
      </c>
      <c r="F521" s="135">
        <v>0</v>
      </c>
      <c r="G521" s="136">
        <v>0</v>
      </c>
      <c r="H521" s="136">
        <v>0</v>
      </c>
      <c r="I521" s="136">
        <v>0</v>
      </c>
      <c r="J521" s="136">
        <v>0</v>
      </c>
      <c r="K521" s="136">
        <v>0</v>
      </c>
      <c r="L521" s="137">
        <v>0</v>
      </c>
      <c r="M521" s="115"/>
    </row>
    <row r="522" spans="1:13" outlineLevel="2">
      <c r="A522" s="366"/>
      <c r="B522" s="367"/>
      <c r="C522" s="151"/>
      <c r="D522" s="117"/>
      <c r="E522" s="122" t="s">
        <v>187</v>
      </c>
      <c r="F522" s="135">
        <v>29.416179425607226</v>
      </c>
      <c r="G522" s="136">
        <v>26.468082154847462</v>
      </c>
      <c r="H522" s="136">
        <v>23.952284760236214</v>
      </c>
      <c r="I522" s="136">
        <v>22.833201823743686</v>
      </c>
      <c r="J522" s="136">
        <v>21.621793301460421</v>
      </c>
      <c r="K522" s="136">
        <v>20.462376423571683</v>
      </c>
      <c r="L522" s="137">
        <v>19.347648974917512</v>
      </c>
      <c r="M522" s="115"/>
    </row>
    <row r="523" spans="1:13" outlineLevel="2">
      <c r="A523" s="366"/>
      <c r="B523" s="367"/>
      <c r="C523" s="151"/>
      <c r="D523" s="117"/>
      <c r="E523" s="122" t="s">
        <v>188</v>
      </c>
      <c r="F523" s="135">
        <v>0</v>
      </c>
      <c r="G523" s="136">
        <v>0</v>
      </c>
      <c r="H523" s="136">
        <v>0</v>
      </c>
      <c r="I523" s="136">
        <v>0</v>
      </c>
      <c r="J523" s="136">
        <v>0</v>
      </c>
      <c r="K523" s="136">
        <v>0</v>
      </c>
      <c r="L523" s="137">
        <v>0</v>
      </c>
      <c r="M523" s="115"/>
    </row>
    <row r="524" spans="1:13" outlineLevel="2">
      <c r="A524" s="366"/>
      <c r="B524" s="367"/>
      <c r="C524" s="151"/>
      <c r="D524" s="117"/>
      <c r="E524" s="122" t="s">
        <v>189</v>
      </c>
      <c r="F524" s="135">
        <v>122.68129450000001</v>
      </c>
      <c r="G524" s="136">
        <v>99.096396453136435</v>
      </c>
      <c r="H524" s="136">
        <v>100.47256775593144</v>
      </c>
      <c r="I524" s="136">
        <v>100.60565608752268</v>
      </c>
      <c r="J524" s="136">
        <v>100.7467007014145</v>
      </c>
      <c r="K524" s="136">
        <v>101.03796947941265</v>
      </c>
      <c r="L524" s="137">
        <v>102.18643461256113</v>
      </c>
      <c r="M524" s="115"/>
    </row>
    <row r="525" spans="1:13" outlineLevel="2">
      <c r="A525" s="366"/>
      <c r="B525" s="367"/>
      <c r="C525" s="151"/>
      <c r="D525" s="117"/>
      <c r="E525" s="122" t="s">
        <v>190</v>
      </c>
      <c r="F525" s="135">
        <v>0</v>
      </c>
      <c r="G525" s="136">
        <v>0</v>
      </c>
      <c r="H525" s="136">
        <v>0</v>
      </c>
      <c r="I525" s="136">
        <v>0</v>
      </c>
      <c r="J525" s="136">
        <v>0</v>
      </c>
      <c r="K525" s="136">
        <v>0</v>
      </c>
      <c r="L525" s="137">
        <v>0</v>
      </c>
      <c r="M525" s="115"/>
    </row>
    <row r="526" spans="1:13" outlineLevel="2">
      <c r="A526" s="366"/>
      <c r="B526" s="367"/>
      <c r="C526" s="151"/>
      <c r="D526" s="117"/>
      <c r="E526" s="122" t="s">
        <v>191</v>
      </c>
      <c r="F526" s="135">
        <v>0</v>
      </c>
      <c r="G526" s="136">
        <v>0</v>
      </c>
      <c r="H526" s="136">
        <v>0</v>
      </c>
      <c r="I526" s="136">
        <v>0</v>
      </c>
      <c r="J526" s="136">
        <v>0</v>
      </c>
      <c r="K526" s="136">
        <v>0</v>
      </c>
      <c r="L526" s="137">
        <v>0</v>
      </c>
      <c r="M526" s="115"/>
    </row>
    <row r="527" spans="1:13" outlineLevel="2">
      <c r="A527" s="366"/>
      <c r="B527" s="367"/>
      <c r="C527" s="151"/>
      <c r="D527" s="117"/>
      <c r="E527" s="122" t="s">
        <v>192</v>
      </c>
      <c r="F527" s="135">
        <v>0</v>
      </c>
      <c r="G527" s="136">
        <v>0</v>
      </c>
      <c r="H527" s="136">
        <v>0</v>
      </c>
      <c r="I527" s="136">
        <v>0</v>
      </c>
      <c r="J527" s="136">
        <v>0</v>
      </c>
      <c r="K527" s="136">
        <v>0</v>
      </c>
      <c r="L527" s="137">
        <v>0</v>
      </c>
      <c r="M527" s="115"/>
    </row>
    <row r="528" spans="1:13" outlineLevel="2">
      <c r="A528" s="366"/>
      <c r="B528" s="367"/>
      <c r="C528" s="151"/>
      <c r="D528" s="117"/>
      <c r="E528" s="122" t="s">
        <v>197</v>
      </c>
      <c r="F528" s="135">
        <v>15.007241944444445</v>
      </c>
      <c r="G528" s="136">
        <v>17.372978979758013</v>
      </c>
      <c r="H528" s="136">
        <v>21.227930062545383</v>
      </c>
      <c r="I528" s="136">
        <v>22.320402542503018</v>
      </c>
      <c r="J528" s="136">
        <v>23.44979614733337</v>
      </c>
      <c r="K528" s="136">
        <v>24.733839502419674</v>
      </c>
      <c r="L528" s="137">
        <v>26.133249631457719</v>
      </c>
      <c r="M528" s="115"/>
    </row>
    <row r="529" spans="1:13" outlineLevel="2">
      <c r="A529" s="366"/>
      <c r="B529" s="367"/>
      <c r="C529" s="151"/>
      <c r="D529" s="117"/>
      <c r="E529" s="122" t="s">
        <v>24</v>
      </c>
      <c r="F529" s="135">
        <v>4.5080899999999993</v>
      </c>
      <c r="G529" s="136">
        <v>1.5894119577243171</v>
      </c>
      <c r="H529" s="136">
        <v>1.5793744995631382</v>
      </c>
      <c r="I529" s="136">
        <v>1.5263147562647177</v>
      </c>
      <c r="J529" s="136">
        <v>1.4587690274799983</v>
      </c>
      <c r="K529" s="136">
        <v>1.3763291871701704</v>
      </c>
      <c r="L529" s="137">
        <v>1.2786014393612386</v>
      </c>
      <c r="M529" s="115"/>
    </row>
    <row r="530" spans="1:13" outlineLevel="2">
      <c r="A530" s="366"/>
      <c r="B530" s="367"/>
      <c r="C530" s="151"/>
      <c r="D530" s="117"/>
      <c r="E530" s="122" t="s">
        <v>198</v>
      </c>
      <c r="F530" s="135">
        <v>0.90818192591922298</v>
      </c>
      <c r="G530" s="136">
        <v>1.0500598522239739</v>
      </c>
      <c r="H530" s="136">
        <v>1.0889092453314444</v>
      </c>
      <c r="I530" s="136">
        <v>1.1206678992422696</v>
      </c>
      <c r="J530" s="136">
        <v>1.1429368317807089</v>
      </c>
      <c r="K530" s="136">
        <v>1.1721654196194529</v>
      </c>
      <c r="L530" s="137">
        <v>1.2087757382174462</v>
      </c>
      <c r="M530" s="115"/>
    </row>
    <row r="531" spans="1:13" outlineLevel="2">
      <c r="A531" s="366"/>
      <c r="B531" s="367"/>
      <c r="C531" s="151"/>
      <c r="D531" s="117"/>
      <c r="E531" s="122" t="s">
        <v>199</v>
      </c>
      <c r="F531" s="135">
        <v>0.7288891666666667</v>
      </c>
      <c r="G531" s="136">
        <v>5.1725485374318003</v>
      </c>
      <c r="H531" s="136">
        <v>7.6544121337796804</v>
      </c>
      <c r="I531" s="136">
        <v>7.6271641721482535</v>
      </c>
      <c r="J531" s="136">
        <v>7.5987051443788847</v>
      </c>
      <c r="K531" s="136">
        <v>7.6152156159879603</v>
      </c>
      <c r="L531" s="137">
        <v>7.1114288698365264</v>
      </c>
      <c r="M531" s="115"/>
    </row>
    <row r="532" spans="1:13" outlineLevel="2">
      <c r="A532" s="366"/>
      <c r="B532" s="367"/>
      <c r="C532" s="151"/>
      <c r="D532" s="117"/>
      <c r="E532" s="122" t="s">
        <v>200</v>
      </c>
      <c r="F532" s="135">
        <v>0</v>
      </c>
      <c r="G532" s="136">
        <v>4.9213424324989318E-4</v>
      </c>
      <c r="H532" s="136">
        <v>1.078776240348816E-3</v>
      </c>
      <c r="I532" s="136">
        <v>1.0558210611343385E-3</v>
      </c>
      <c r="J532" s="136">
        <v>1.0218180418014526E-3</v>
      </c>
      <c r="K532" s="136">
        <v>9.9322479963302604E-4</v>
      </c>
      <c r="L532" s="137">
        <v>9.7447061538696292E-4</v>
      </c>
      <c r="M532" s="115"/>
    </row>
    <row r="533" spans="1:13" outlineLevel="2">
      <c r="A533" s="366"/>
      <c r="B533" s="367"/>
      <c r="C533" s="151"/>
      <c r="D533" s="117"/>
      <c r="E533" s="122" t="s">
        <v>201</v>
      </c>
      <c r="F533" s="135">
        <v>2.3466111111111111E-2</v>
      </c>
      <c r="G533" s="136">
        <v>3.8289980908217579E-4</v>
      </c>
      <c r="H533" s="136">
        <v>3.8267455312152759E-4</v>
      </c>
      <c r="I533" s="136">
        <v>3.8067188808088001E-4</v>
      </c>
      <c r="J533" s="136">
        <v>3.7866244598879417E-4</v>
      </c>
      <c r="K533" s="136">
        <v>3.7537634069694794E-4</v>
      </c>
      <c r="L533" s="137">
        <v>3.7093504340600868E-4</v>
      </c>
      <c r="M533" s="115"/>
    </row>
    <row r="534" spans="1:13" outlineLevel="2">
      <c r="A534" s="366"/>
      <c r="B534" s="367"/>
      <c r="C534" s="151"/>
      <c r="D534" s="117"/>
      <c r="E534" s="122" t="s">
        <v>194</v>
      </c>
      <c r="F534" s="135">
        <v>112.74074204167756</v>
      </c>
      <c r="G534" s="136">
        <v>107.2446105671894</v>
      </c>
      <c r="H534" s="136">
        <v>114.50150459729684</v>
      </c>
      <c r="I534" s="136">
        <v>118.50789587784493</v>
      </c>
      <c r="J534" s="136">
        <v>122.91951107973217</v>
      </c>
      <c r="K534" s="136">
        <v>128.29357551932688</v>
      </c>
      <c r="L534" s="137">
        <v>134.21247811000825</v>
      </c>
      <c r="M534" s="115"/>
    </row>
    <row r="535" spans="1:13" outlineLevel="2">
      <c r="A535" s="366"/>
      <c r="B535" s="367"/>
      <c r="C535" s="151"/>
      <c r="D535" s="117"/>
      <c r="E535" s="122" t="s">
        <v>195</v>
      </c>
      <c r="F535" s="135">
        <v>20.288037293048792</v>
      </c>
      <c r="G535" s="136">
        <v>20.286263463714917</v>
      </c>
      <c r="H535" s="136">
        <v>19.106285469568391</v>
      </c>
      <c r="I535" s="136">
        <v>18.835297974660502</v>
      </c>
      <c r="J535" s="136">
        <v>18.55203699777983</v>
      </c>
      <c r="K535" s="136">
        <v>18.342146324065073</v>
      </c>
      <c r="L535" s="137">
        <v>18.188621561312811</v>
      </c>
      <c r="M535" s="115"/>
    </row>
    <row r="536" spans="1:13" outlineLevel="2">
      <c r="A536" s="366"/>
      <c r="B536" s="367"/>
      <c r="C536" s="151" t="str">
        <f t="shared" si="16"/>
        <v>Hydrogène</v>
      </c>
      <c r="D536" s="117"/>
      <c r="E536" s="122" t="s">
        <v>196</v>
      </c>
      <c r="F536" s="135">
        <v>0</v>
      </c>
      <c r="G536" s="136">
        <v>2.078010368347168E-2</v>
      </c>
      <c r="H536" s="136">
        <v>3.1200463867187498</v>
      </c>
      <c r="I536" s="136">
        <v>4.1752392578124997</v>
      </c>
      <c r="J536" s="136">
        <v>5.2115166015624999</v>
      </c>
      <c r="K536" s="136">
        <v>6.23013720703125</v>
      </c>
      <c r="L536" s="137">
        <v>7.2324663085937502</v>
      </c>
      <c r="M536" s="115"/>
    </row>
    <row r="537" spans="1:13" ht="15" outlineLevel="2" thickBot="1">
      <c r="A537" s="366"/>
      <c r="B537" s="367"/>
      <c r="C537" s="151" t="str">
        <f t="shared" si="16"/>
        <v>Total</v>
      </c>
      <c r="D537" s="117"/>
      <c r="E537" s="123" t="s">
        <v>144</v>
      </c>
      <c r="F537" s="138">
        <v>316.80164063279506</v>
      </c>
      <c r="G537" s="139">
        <v>286.76905397876214</v>
      </c>
      <c r="H537" s="139">
        <v>298.11959065560575</v>
      </c>
      <c r="I537" s="139">
        <v>303.05827862998018</v>
      </c>
      <c r="J537" s="139">
        <v>308.17426579244028</v>
      </c>
      <c r="K537" s="139">
        <v>314.605195727563</v>
      </c>
      <c r="L537" s="140">
        <v>321.94584952035467</v>
      </c>
      <c r="M537" s="115"/>
    </row>
    <row r="538" spans="1:13" outlineLevel="2">
      <c r="A538" s="366"/>
      <c r="B538" s="367"/>
      <c r="C538" s="151" t="str">
        <f t="shared" si="16"/>
        <v>Périmètre Kyoto, SDES bilans d'énergie 2022, Projections DGEC</v>
      </c>
      <c r="D538" s="115"/>
      <c r="E538" s="616" t="s">
        <v>780</v>
      </c>
      <c r="F538" s="616"/>
      <c r="G538" s="616"/>
      <c r="H538" s="616"/>
      <c r="I538" s="616"/>
      <c r="J538" s="616"/>
      <c r="K538" s="616"/>
      <c r="L538" s="616"/>
      <c r="M538" s="115"/>
    </row>
    <row r="539" spans="1:13" outlineLevel="1">
      <c r="A539" s="366"/>
      <c r="B539" s="367"/>
      <c r="C539" s="151" t="str">
        <f t="shared" si="16"/>
        <v/>
      </c>
      <c r="D539" s="115"/>
      <c r="E539" s="115"/>
      <c r="F539" s="115"/>
      <c r="G539" s="115"/>
      <c r="H539" s="115"/>
      <c r="I539" s="115"/>
      <c r="J539" s="115"/>
      <c r="K539" s="115"/>
      <c r="L539" s="115"/>
      <c r="M539" s="115"/>
    </row>
    <row r="540" spans="1:13" s="399" customFormat="1" ht="15" outlineLevel="1" thickBot="1">
      <c r="A540" s="366"/>
      <c r="B540" s="367"/>
      <c r="C540" s="151"/>
      <c r="D540" s="115"/>
      <c r="E540" s="615" t="s">
        <v>1102</v>
      </c>
      <c r="F540" s="615"/>
      <c r="G540" s="615"/>
      <c r="H540" s="615"/>
      <c r="I540" s="615"/>
      <c r="J540" s="615"/>
      <c r="K540" s="615"/>
      <c r="L540" s="615"/>
      <c r="M540" s="115"/>
    </row>
    <row r="541" spans="1:13" s="399" customFormat="1" outlineLevel="1">
      <c r="A541" s="366"/>
      <c r="B541" s="367"/>
      <c r="C541" s="151"/>
      <c r="D541" s="115"/>
      <c r="E541" s="119" t="s">
        <v>1103</v>
      </c>
      <c r="F541" s="228">
        <v>2021</v>
      </c>
      <c r="G541" s="228">
        <v>2025</v>
      </c>
      <c r="H541" s="228">
        <v>2030</v>
      </c>
      <c r="I541" s="228">
        <v>2035</v>
      </c>
      <c r="J541" s="228">
        <v>2040</v>
      </c>
      <c r="K541" s="228">
        <v>2045</v>
      </c>
      <c r="L541" s="229">
        <v>2050</v>
      </c>
      <c r="M541" s="115"/>
    </row>
    <row r="542" spans="1:13" s="399" customFormat="1" outlineLevel="1">
      <c r="A542" s="366"/>
      <c r="B542" s="367"/>
      <c r="C542" s="151"/>
      <c r="D542" s="115"/>
      <c r="E542" s="122" t="s">
        <v>185</v>
      </c>
      <c r="F542" s="135" cm="1">
        <f t="array" ref="F542:F559">TRANSPOSE(Bilans!F120:W120)</f>
        <v>3.2100486466300007</v>
      </c>
      <c r="G542" s="136" cm="1">
        <f t="array" ref="G542:G559">TRANSPOSE(Bilans!F190:W190)</f>
        <v>0</v>
      </c>
      <c r="H542" s="136" cm="1">
        <f t="array" ref="H542:H559">TRANSPOSE(Bilans!F260:W260)</f>
        <v>0</v>
      </c>
      <c r="I542" s="136" cm="1">
        <f t="array" ref="I542:I559">TRANSPOSE(Bilans!F330:W330)</f>
        <v>0</v>
      </c>
      <c r="J542" s="136" cm="1">
        <f t="array" ref="J542:J559">TRANSPOSE(Bilans!F400:W400)</f>
        <v>0</v>
      </c>
      <c r="K542" s="136" cm="1">
        <f t="array" ref="K542:K559">TRANSPOSE(Bilans!F470:W470)</f>
        <v>0</v>
      </c>
      <c r="L542" s="137" cm="1">
        <f t="array" ref="L542:L559">TRANSPOSE(Bilans!F505:W505)</f>
        <v>0</v>
      </c>
      <c r="M542" s="115"/>
    </row>
    <row r="543" spans="1:13" s="399" customFormat="1" outlineLevel="1">
      <c r="A543" s="366"/>
      <c r="B543" s="367"/>
      <c r="C543" s="151"/>
      <c r="D543" s="115"/>
      <c r="E543" s="122" t="s">
        <v>186</v>
      </c>
      <c r="F543" s="135">
        <v>0</v>
      </c>
      <c r="G543" s="136">
        <v>0</v>
      </c>
      <c r="H543" s="136">
        <v>0</v>
      </c>
      <c r="I543" s="136">
        <v>0</v>
      </c>
      <c r="J543" s="136">
        <v>0</v>
      </c>
      <c r="K543" s="136">
        <v>0</v>
      </c>
      <c r="L543" s="137">
        <v>0</v>
      </c>
      <c r="M543" s="115"/>
    </row>
    <row r="544" spans="1:13" s="399" customFormat="1" outlineLevel="1">
      <c r="A544" s="366"/>
      <c r="B544" s="367"/>
      <c r="C544" s="151"/>
      <c r="D544" s="115"/>
      <c r="E544" s="122" t="s">
        <v>187</v>
      </c>
      <c r="F544" s="135">
        <v>139.4576510270841</v>
      </c>
      <c r="G544" s="136">
        <v>104.97462946759052</v>
      </c>
      <c r="H544" s="136">
        <v>99.466490745967647</v>
      </c>
      <c r="I544" s="136">
        <v>96.616088292321237</v>
      </c>
      <c r="J544" s="136">
        <v>93.481650907907905</v>
      </c>
      <c r="K544" s="136">
        <v>90.429201784420329</v>
      </c>
      <c r="L544" s="137">
        <v>87.466850419339437</v>
      </c>
      <c r="M544" s="115"/>
    </row>
    <row r="545" spans="1:13" s="399" customFormat="1" outlineLevel="1">
      <c r="A545" s="366"/>
      <c r="B545" s="367"/>
      <c r="C545" s="151"/>
      <c r="D545" s="115"/>
      <c r="E545" s="122" t="s">
        <v>188</v>
      </c>
      <c r="F545" s="135">
        <v>0</v>
      </c>
      <c r="G545" s="136">
        <v>0</v>
      </c>
      <c r="H545" s="136">
        <v>0</v>
      </c>
      <c r="I545" s="136">
        <v>0</v>
      </c>
      <c r="J545" s="136">
        <v>0</v>
      </c>
      <c r="K545" s="136">
        <v>0</v>
      </c>
      <c r="L545" s="137">
        <v>0</v>
      </c>
      <c r="M545" s="115"/>
    </row>
    <row r="546" spans="1:13" s="399" customFormat="1" outlineLevel="1">
      <c r="A546" s="366"/>
      <c r="B546" s="367"/>
      <c r="C546" s="151"/>
      <c r="D546" s="115"/>
      <c r="E546" s="122" t="s">
        <v>189</v>
      </c>
      <c r="F546" s="135">
        <v>12.877187000000003</v>
      </c>
      <c r="G546" s="136">
        <v>10.178971843502225</v>
      </c>
      <c r="H546" s="136">
        <v>10.165605036953007</v>
      </c>
      <c r="I546" s="136">
        <v>10.367165033744062</v>
      </c>
      <c r="J546" s="136">
        <v>10.543105871868859</v>
      </c>
      <c r="K546" s="136">
        <v>10.286365836418653</v>
      </c>
      <c r="L546" s="137">
        <v>10.03845091732196</v>
      </c>
      <c r="M546" s="115"/>
    </row>
    <row r="547" spans="1:13" s="399" customFormat="1" outlineLevel="1">
      <c r="A547" s="366"/>
      <c r="B547" s="367"/>
      <c r="C547" s="151"/>
      <c r="D547" s="115"/>
      <c r="E547" s="122" t="s">
        <v>190</v>
      </c>
      <c r="F547" s="135">
        <v>0</v>
      </c>
      <c r="G547" s="136">
        <v>0</v>
      </c>
      <c r="H547" s="136">
        <v>0</v>
      </c>
      <c r="I547" s="136">
        <v>0</v>
      </c>
      <c r="J547" s="136">
        <v>0</v>
      </c>
      <c r="K547" s="136">
        <v>0</v>
      </c>
      <c r="L547" s="137">
        <v>0</v>
      </c>
      <c r="M547" s="115"/>
    </row>
    <row r="548" spans="1:13" s="399" customFormat="1" outlineLevel="1">
      <c r="A548" s="366"/>
      <c r="B548" s="367"/>
      <c r="C548" s="151"/>
      <c r="D548" s="115"/>
      <c r="E548" s="122" t="s">
        <v>191</v>
      </c>
      <c r="F548" s="135">
        <v>0</v>
      </c>
      <c r="G548" s="136">
        <v>0</v>
      </c>
      <c r="H548" s="136">
        <v>0</v>
      </c>
      <c r="I548" s="136">
        <v>0</v>
      </c>
      <c r="J548" s="136">
        <v>0</v>
      </c>
      <c r="K548" s="136">
        <v>0</v>
      </c>
      <c r="L548" s="137">
        <v>0</v>
      </c>
      <c r="M548" s="115"/>
    </row>
    <row r="549" spans="1:13" s="399" customFormat="1" outlineLevel="1">
      <c r="A549" s="366"/>
      <c r="B549" s="367"/>
      <c r="C549" s="151"/>
      <c r="D549" s="115"/>
      <c r="E549" s="122" t="s">
        <v>192</v>
      </c>
      <c r="F549" s="135">
        <v>0</v>
      </c>
      <c r="G549" s="136">
        <v>0</v>
      </c>
      <c r="H549" s="136">
        <v>0</v>
      </c>
      <c r="I549" s="136">
        <v>0</v>
      </c>
      <c r="J549" s="136">
        <v>0</v>
      </c>
      <c r="K549" s="136">
        <v>0</v>
      </c>
      <c r="L549" s="137">
        <v>0</v>
      </c>
      <c r="M549" s="115"/>
    </row>
    <row r="550" spans="1:13" s="399" customFormat="1" outlineLevel="1">
      <c r="A550" s="366"/>
      <c r="B550" s="367"/>
      <c r="C550" s="151"/>
      <c r="D550" s="115"/>
      <c r="E550" s="122" t="s">
        <v>197</v>
      </c>
      <c r="F550" s="135">
        <v>0</v>
      </c>
      <c r="G550" s="136">
        <v>0</v>
      </c>
      <c r="H550" s="136">
        <v>0</v>
      </c>
      <c r="I550" s="136">
        <v>0</v>
      </c>
      <c r="J550" s="136">
        <v>0</v>
      </c>
      <c r="K550" s="136">
        <v>0</v>
      </c>
      <c r="L550" s="137">
        <v>0</v>
      </c>
      <c r="M550" s="115"/>
    </row>
    <row r="551" spans="1:13" s="399" customFormat="1" outlineLevel="1">
      <c r="A551" s="366"/>
      <c r="B551" s="367"/>
      <c r="C551" s="151"/>
      <c r="D551" s="115"/>
      <c r="E551" s="122" t="s">
        <v>24</v>
      </c>
      <c r="F551" s="135">
        <v>0</v>
      </c>
      <c r="G551" s="136">
        <v>0</v>
      </c>
      <c r="H551" s="136">
        <v>0</v>
      </c>
      <c r="I551" s="136">
        <v>0</v>
      </c>
      <c r="J551" s="136">
        <v>0</v>
      </c>
      <c r="K551" s="136">
        <v>0</v>
      </c>
      <c r="L551" s="137">
        <v>0</v>
      </c>
      <c r="M551" s="115"/>
    </row>
    <row r="552" spans="1:13" s="399" customFormat="1" outlineLevel="1">
      <c r="A552" s="366"/>
      <c r="B552" s="367"/>
      <c r="C552" s="151"/>
      <c r="D552" s="115"/>
      <c r="E552" s="122" t="s">
        <v>198</v>
      </c>
      <c r="F552" s="135">
        <v>0</v>
      </c>
      <c r="G552" s="136">
        <v>0</v>
      </c>
      <c r="H552" s="136">
        <v>0</v>
      </c>
      <c r="I552" s="136">
        <v>0</v>
      </c>
      <c r="J552" s="136">
        <v>0</v>
      </c>
      <c r="K552" s="136">
        <v>0</v>
      </c>
      <c r="L552" s="137">
        <v>0</v>
      </c>
      <c r="M552" s="115"/>
    </row>
    <row r="553" spans="1:13" s="399" customFormat="1" outlineLevel="1">
      <c r="A553" s="366"/>
      <c r="B553" s="367"/>
      <c r="C553" s="151"/>
      <c r="D553" s="115"/>
      <c r="E553" s="122" t="s">
        <v>199</v>
      </c>
      <c r="F553" s="135">
        <v>0</v>
      </c>
      <c r="G553" s="136">
        <v>0</v>
      </c>
      <c r="H553" s="136">
        <v>0</v>
      </c>
      <c r="I553" s="136">
        <v>0</v>
      </c>
      <c r="J553" s="136">
        <v>0</v>
      </c>
      <c r="K553" s="136">
        <v>0</v>
      </c>
      <c r="L553" s="137">
        <v>0</v>
      </c>
      <c r="M553" s="115"/>
    </row>
    <row r="554" spans="1:13" s="399" customFormat="1" outlineLevel="1">
      <c r="A554" s="366"/>
      <c r="B554" s="367"/>
      <c r="C554" s="151"/>
      <c r="D554" s="115"/>
      <c r="E554" s="122" t="s">
        <v>200</v>
      </c>
      <c r="F554" s="135">
        <v>0</v>
      </c>
      <c r="G554" s="136">
        <v>0</v>
      </c>
      <c r="H554" s="136">
        <v>0</v>
      </c>
      <c r="I554" s="136">
        <v>0</v>
      </c>
      <c r="J554" s="136">
        <v>0</v>
      </c>
      <c r="K554" s="136">
        <v>0</v>
      </c>
      <c r="L554" s="137">
        <v>0</v>
      </c>
      <c r="M554" s="115"/>
    </row>
    <row r="555" spans="1:13" s="399" customFormat="1" outlineLevel="1">
      <c r="A555" s="366"/>
      <c r="B555" s="367"/>
      <c r="C555" s="151"/>
      <c r="D555" s="115"/>
      <c r="E555" s="122" t="s">
        <v>201</v>
      </c>
      <c r="F555" s="135">
        <v>0</v>
      </c>
      <c r="G555" s="136">
        <v>0</v>
      </c>
      <c r="H555" s="136">
        <v>0</v>
      </c>
      <c r="I555" s="136">
        <v>0</v>
      </c>
      <c r="J555" s="136">
        <v>0</v>
      </c>
      <c r="K555" s="136">
        <v>0</v>
      </c>
      <c r="L555" s="137">
        <v>0</v>
      </c>
      <c r="M555" s="115"/>
    </row>
    <row r="556" spans="1:13" s="399" customFormat="1" outlineLevel="1">
      <c r="A556" s="366"/>
      <c r="B556" s="367"/>
      <c r="C556" s="151"/>
      <c r="D556" s="115"/>
      <c r="E556" s="122" t="s">
        <v>194</v>
      </c>
      <c r="F556" s="135">
        <v>0</v>
      </c>
      <c r="G556" s="136">
        <v>0</v>
      </c>
      <c r="H556" s="136">
        <v>0</v>
      </c>
      <c r="I556" s="136">
        <v>0</v>
      </c>
      <c r="J556" s="136">
        <v>0</v>
      </c>
      <c r="K556" s="136">
        <v>0</v>
      </c>
      <c r="L556" s="137">
        <v>0</v>
      </c>
      <c r="M556" s="115"/>
    </row>
    <row r="557" spans="1:13" s="399" customFormat="1" outlineLevel="1">
      <c r="A557" s="366"/>
      <c r="B557" s="367"/>
      <c r="C557" s="151"/>
      <c r="D557" s="115"/>
      <c r="E557" s="122" t="s">
        <v>195</v>
      </c>
      <c r="F557" s="135">
        <v>0.65340598733210598</v>
      </c>
      <c r="G557" s="136">
        <v>0</v>
      </c>
      <c r="H557" s="136">
        <v>0</v>
      </c>
      <c r="I557" s="136">
        <v>0</v>
      </c>
      <c r="J557" s="136">
        <v>0</v>
      </c>
      <c r="K557" s="136">
        <v>0</v>
      </c>
      <c r="L557" s="137">
        <v>0</v>
      </c>
      <c r="M557" s="115"/>
    </row>
    <row r="558" spans="1:13" s="399" customFormat="1" outlineLevel="1">
      <c r="A558" s="366"/>
      <c r="B558" s="367"/>
      <c r="C558" s="151"/>
      <c r="D558" s="115"/>
      <c r="E558" s="122" t="s">
        <v>196</v>
      </c>
      <c r="F558" s="135">
        <v>0</v>
      </c>
      <c r="G558" s="136">
        <v>0</v>
      </c>
      <c r="H558" s="136">
        <v>0</v>
      </c>
      <c r="I558" s="136">
        <v>0</v>
      </c>
      <c r="J558" s="136">
        <v>0</v>
      </c>
      <c r="K558" s="136">
        <v>0.54526729881763458</v>
      </c>
      <c r="L558" s="137">
        <v>1.1308556199073792</v>
      </c>
      <c r="M558" s="115"/>
    </row>
    <row r="559" spans="1:13" s="399" customFormat="1" ht="15" outlineLevel="1" thickBot="1">
      <c r="A559" s="366"/>
      <c r="B559" s="367"/>
      <c r="C559" s="151"/>
      <c r="D559" s="115"/>
      <c r="E559" s="123" t="s">
        <v>144</v>
      </c>
      <c r="F559" s="138">
        <v>156.1982926610462</v>
      </c>
      <c r="G559" s="139">
        <v>115.15360131109274</v>
      </c>
      <c r="H559" s="139">
        <v>109.63209578292066</v>
      </c>
      <c r="I559" s="139">
        <v>106.9832533260653</v>
      </c>
      <c r="J559" s="139">
        <v>104.02475677977677</v>
      </c>
      <c r="K559" s="139">
        <v>101.26083491965662</v>
      </c>
      <c r="L559" s="140">
        <v>98.636156956568769</v>
      </c>
      <c r="M559" s="115"/>
    </row>
    <row r="560" spans="1:13" s="399" customFormat="1" outlineLevel="1">
      <c r="A560" s="366"/>
      <c r="B560" s="367"/>
      <c r="C560" s="151"/>
      <c r="D560" s="115"/>
      <c r="E560" s="616" t="s">
        <v>780</v>
      </c>
      <c r="F560" s="616"/>
      <c r="G560" s="616"/>
      <c r="H560" s="616"/>
      <c r="I560" s="616"/>
      <c r="J560" s="616"/>
      <c r="K560" s="616"/>
      <c r="L560" s="616"/>
      <c r="M560" s="115"/>
    </row>
    <row r="561" spans="1:13" s="399" customFormat="1" outlineLevel="1">
      <c r="A561" s="366"/>
      <c r="B561" s="367"/>
      <c r="C561" s="151"/>
      <c r="D561" s="115"/>
      <c r="E561" s="115"/>
      <c r="F561" s="115"/>
      <c r="G561" s="115"/>
      <c r="H561" s="115"/>
      <c r="I561" s="115"/>
      <c r="J561" s="115"/>
      <c r="K561" s="115"/>
      <c r="L561" s="115"/>
      <c r="M561" s="115"/>
    </row>
    <row r="562" spans="1:13">
      <c r="A562" s="366"/>
      <c r="B562" s="367"/>
      <c r="C562" s="151" t="str">
        <f t="shared" si="16"/>
        <v/>
      </c>
      <c r="D562" s="629"/>
      <c r="E562" s="629"/>
      <c r="F562" s="629"/>
    </row>
    <row r="563" spans="1:13" ht="28.8" thickBot="1">
      <c r="A563" s="366"/>
      <c r="B563" s="367"/>
      <c r="C563" s="151" t="str">
        <f t="shared" si="16"/>
        <v>Emissions de gaz à effet de serre</v>
      </c>
      <c r="D563" s="371"/>
      <c r="E563" s="372"/>
      <c r="F563" s="635" t="s">
        <v>142</v>
      </c>
      <c r="G563" s="635"/>
      <c r="H563" s="635"/>
      <c r="I563" s="635"/>
      <c r="J563" s="635"/>
      <c r="K563" s="635"/>
      <c r="L563" s="635"/>
      <c r="M563" s="635"/>
    </row>
    <row r="564" spans="1:13" ht="15" thickTop="1">
      <c r="A564" s="366"/>
      <c r="B564" s="367"/>
      <c r="C564" s="151" t="str">
        <f t="shared" si="16"/>
        <v/>
      </c>
      <c r="D564" s="110"/>
      <c r="E564" s="110"/>
      <c r="F564" s="110"/>
    </row>
    <row r="565" spans="1:13" outlineLevel="1">
      <c r="A565" s="366"/>
      <c r="B565" s="367"/>
      <c r="C565" s="151" t="str">
        <f t="shared" si="16"/>
        <v/>
      </c>
      <c r="D565" s="115"/>
      <c r="E565" s="115"/>
      <c r="F565" s="115"/>
      <c r="G565" s="115"/>
      <c r="H565" s="115"/>
      <c r="I565" s="115"/>
      <c r="J565" s="115"/>
      <c r="K565" s="115"/>
      <c r="L565" s="115"/>
      <c r="M565" s="115"/>
    </row>
    <row r="566" spans="1:13" outlineLevel="1">
      <c r="A566" s="366"/>
      <c r="B566" s="367"/>
      <c r="C566" s="151" t="str">
        <f t="shared" si="16"/>
        <v/>
      </c>
      <c r="D566" s="115"/>
      <c r="E566" s="115"/>
      <c r="F566" s="115"/>
      <c r="G566" s="115"/>
      <c r="H566" s="115"/>
      <c r="I566" s="115"/>
      <c r="J566" s="115"/>
      <c r="K566" s="115"/>
      <c r="L566" s="115"/>
      <c r="M566" s="115"/>
    </row>
    <row r="567" spans="1:13" ht="15" outlineLevel="1" thickBot="1">
      <c r="A567" s="366"/>
      <c r="B567" s="367"/>
      <c r="C567" s="151" t="str">
        <f t="shared" si="16"/>
        <v xml:space="preserve">Emissions de gaz à effet de serre </v>
      </c>
      <c r="D567" s="115"/>
      <c r="E567" s="627" t="s">
        <v>165</v>
      </c>
      <c r="F567" s="627"/>
      <c r="G567" s="627"/>
      <c r="H567" s="627"/>
      <c r="I567" s="627"/>
      <c r="J567" s="627"/>
      <c r="K567" s="627"/>
      <c r="L567" s="627"/>
      <c r="M567" s="115"/>
    </row>
    <row r="568" spans="1:13" outlineLevel="2">
      <c r="A568" s="366"/>
      <c r="B568" s="367"/>
      <c r="C568" s="151" t="str">
        <f t="shared" si="16"/>
        <v>MtCO2e (CCUS inclus)</v>
      </c>
      <c r="D568" s="115"/>
      <c r="E568" s="322" t="s">
        <v>1054</v>
      </c>
      <c r="F568" s="323">
        <v>2021</v>
      </c>
      <c r="G568" s="323">
        <v>2025</v>
      </c>
      <c r="H568" s="323">
        <v>2030</v>
      </c>
      <c r="I568" s="323">
        <v>2035</v>
      </c>
      <c r="J568" s="323">
        <v>2040</v>
      </c>
      <c r="K568" s="323">
        <v>2045</v>
      </c>
      <c r="L568" s="324">
        <v>2050</v>
      </c>
      <c r="M568" s="115"/>
    </row>
    <row r="569" spans="1:13" s="399" customFormat="1" outlineLevel="2">
      <c r="A569" s="366"/>
      <c r="B569" s="367"/>
      <c r="C569" s="151"/>
      <c r="D569" s="115"/>
      <c r="E569" s="237" t="s">
        <v>144</v>
      </c>
      <c r="F569" s="260">
        <f>SUM(F570:F578)</f>
        <v>77.230054879266447</v>
      </c>
      <c r="G569" s="260">
        <f>SUM(G570:G578)</f>
        <v>67.766557056496708</v>
      </c>
      <c r="H569" s="260">
        <f t="shared" ref="H569:K569" si="18">SUM(H570:H578)</f>
        <v>61.156223194127314</v>
      </c>
      <c r="I569" s="260">
        <f t="shared" si="18"/>
        <v>60.059078506370341</v>
      </c>
      <c r="J569" s="260">
        <f t="shared" si="18"/>
        <v>59.317762658317143</v>
      </c>
      <c r="K569" s="260">
        <f t="shared" si="18"/>
        <v>58.413374147362191</v>
      </c>
      <c r="L569" s="566">
        <f>SUM(L570:L578)</f>
        <v>62.073011388944394</v>
      </c>
      <c r="M569" s="115"/>
    </row>
    <row r="570" spans="1:13" outlineLevel="2">
      <c r="A570" s="366"/>
      <c r="B570" s="367"/>
      <c r="C570" s="151" t="str">
        <f t="shared" si="16"/>
        <v>Chimie</v>
      </c>
      <c r="D570" s="116"/>
      <c r="E570" s="330" t="s">
        <v>2</v>
      </c>
      <c r="F570" s="135">
        <v>18.668402800106701</v>
      </c>
      <c r="G570" s="136">
        <v>16.043817582850611</v>
      </c>
      <c r="H570" s="136">
        <v>15.583011059804516</v>
      </c>
      <c r="I570" s="136">
        <v>16.329963948251176</v>
      </c>
      <c r="J570" s="136">
        <v>17.341452625038581</v>
      </c>
      <c r="K570" s="136">
        <v>18.081248927792529</v>
      </c>
      <c r="L570" s="463">
        <v>23.56180610797772</v>
      </c>
      <c r="M570" s="115"/>
    </row>
    <row r="571" spans="1:13" outlineLevel="2">
      <c r="A571" s="366"/>
      <c r="B571" s="367"/>
      <c r="C571" s="151" t="str">
        <f t="shared" si="16"/>
        <v>Construction</v>
      </c>
      <c r="D571" s="117"/>
      <c r="E571" s="330" t="s">
        <v>3</v>
      </c>
      <c r="F571" s="135">
        <v>3.8345796825813139</v>
      </c>
      <c r="G571" s="136">
        <v>3.6911616084636751</v>
      </c>
      <c r="H571" s="136">
        <v>3.382016938588984</v>
      </c>
      <c r="I571" s="136">
        <v>3.2455829587626592</v>
      </c>
      <c r="J571" s="136">
        <v>3.096792574069168</v>
      </c>
      <c r="K571" s="136">
        <v>2.9564743350039819</v>
      </c>
      <c r="L571" s="463">
        <v>2.824036182013669</v>
      </c>
      <c r="M571" s="115"/>
    </row>
    <row r="572" spans="1:13" outlineLevel="2">
      <c r="A572" s="366"/>
      <c r="B572" s="367"/>
      <c r="C572" s="151"/>
      <c r="D572" s="117"/>
      <c r="E572" s="330" t="s">
        <v>300</v>
      </c>
      <c r="F572" s="135">
        <v>3.5259374202038094</v>
      </c>
      <c r="G572" s="136">
        <v>2.8198058855041297</v>
      </c>
      <c r="H572" s="136">
        <v>2.69876299736424</v>
      </c>
      <c r="I572" s="136">
        <v>2.5826681977876769</v>
      </c>
      <c r="J572" s="136">
        <v>2.5613011023090033</v>
      </c>
      <c r="K572" s="136">
        <v>2.5553604296552943</v>
      </c>
      <c r="L572" s="463">
        <v>2.5648860069946817</v>
      </c>
      <c r="M572" s="115"/>
    </row>
    <row r="573" spans="1:13" outlineLevel="2">
      <c r="A573" s="366"/>
      <c r="B573" s="367"/>
      <c r="C573" s="151"/>
      <c r="D573" s="117"/>
      <c r="E573" s="330" t="s">
        <v>50</v>
      </c>
      <c r="F573" s="135">
        <v>8.9654233306597462</v>
      </c>
      <c r="G573" s="136">
        <v>6.7500474554445979</v>
      </c>
      <c r="H573" s="136">
        <v>6.2972808720843236</v>
      </c>
      <c r="I573" s="136">
        <v>6.1832438307234012</v>
      </c>
      <c r="J573" s="136">
        <v>6.1084839281166383</v>
      </c>
      <c r="K573" s="136">
        <v>6.084730974384974</v>
      </c>
      <c r="L573" s="463">
        <v>6.1250191401881073</v>
      </c>
      <c r="M573" s="115"/>
    </row>
    <row r="574" spans="1:13" outlineLevel="2">
      <c r="A574" s="366"/>
      <c r="B574" s="367"/>
      <c r="C574" s="151"/>
      <c r="D574" s="117"/>
      <c r="E574" s="330" t="s">
        <v>301</v>
      </c>
      <c r="F574" s="135">
        <v>15.831124895260899</v>
      </c>
      <c r="G574" s="136">
        <v>14.759512581052665</v>
      </c>
      <c r="H574" s="136">
        <v>11.683685656461735</v>
      </c>
      <c r="I574" s="136">
        <v>11.606169831008621</v>
      </c>
      <c r="J574" s="136">
        <v>11.516629722291992</v>
      </c>
      <c r="K574" s="136">
        <v>11.428354807885702</v>
      </c>
      <c r="L574" s="463">
        <v>11.017559681296415</v>
      </c>
      <c r="M574" s="115"/>
    </row>
    <row r="575" spans="1:13" outlineLevel="2">
      <c r="A575" s="366"/>
      <c r="B575" s="367"/>
      <c r="C575" s="151"/>
      <c r="D575" s="117"/>
      <c r="E575" s="330" t="s">
        <v>4</v>
      </c>
      <c r="F575" s="135">
        <v>2.1676297186799958</v>
      </c>
      <c r="G575" s="136">
        <v>2.2254727155645697</v>
      </c>
      <c r="H575" s="136">
        <v>2.184290437305064</v>
      </c>
      <c r="I575" s="136">
        <v>2.2034119541187449</v>
      </c>
      <c r="J575" s="136">
        <v>2.2197492825349534</v>
      </c>
      <c r="K575" s="136">
        <v>2.2323810802846049</v>
      </c>
      <c r="L575" s="463">
        <v>2.2523079279296341</v>
      </c>
      <c r="M575" s="115"/>
    </row>
    <row r="576" spans="1:13" outlineLevel="2">
      <c r="A576" s="366"/>
      <c r="B576" s="367"/>
      <c r="C576" s="151"/>
      <c r="D576" s="117"/>
      <c r="E576" s="330" t="s">
        <v>5</v>
      </c>
      <c r="F576" s="135">
        <v>19.534200631184596</v>
      </c>
      <c r="G576" s="136">
        <v>17.515365798428387</v>
      </c>
      <c r="H576" s="136">
        <v>15.460271401859252</v>
      </c>
      <c r="I576" s="136">
        <v>14.093342956197471</v>
      </c>
      <c r="J576" s="136">
        <v>12.707404670262157</v>
      </c>
      <c r="K576" s="136">
        <v>11.33963310113381</v>
      </c>
      <c r="L576" s="463">
        <v>10.000443162031887</v>
      </c>
      <c r="M576" s="115"/>
    </row>
    <row r="577" spans="1:13" outlineLevel="2">
      <c r="A577" s="366"/>
      <c r="B577" s="367"/>
      <c r="C577" s="151"/>
      <c r="D577" s="117"/>
      <c r="E577" s="330" t="s">
        <v>6</v>
      </c>
      <c r="F577" s="135">
        <v>2.3657715609633043</v>
      </c>
      <c r="G577" s="136">
        <v>1.938512897730555</v>
      </c>
      <c r="H577" s="136">
        <v>1.9235356059084274</v>
      </c>
      <c r="I577" s="136">
        <v>1.9139334663671281</v>
      </c>
      <c r="J577" s="136">
        <v>1.9036482114226527</v>
      </c>
      <c r="K577" s="136">
        <v>1.9039112944205965</v>
      </c>
      <c r="L577" s="463">
        <v>1.9181513613007579</v>
      </c>
      <c r="M577" s="115"/>
    </row>
    <row r="578" spans="1:13" ht="15" outlineLevel="2" thickBot="1">
      <c r="A578" s="366"/>
      <c r="B578" s="367"/>
      <c r="C578" s="151" t="str">
        <f t="shared" si="16"/>
        <v>Autres industries manufacturières</v>
      </c>
      <c r="D578" s="117"/>
      <c r="E578" s="332" t="s">
        <v>7</v>
      </c>
      <c r="F578" s="416">
        <v>2.3369848396260631</v>
      </c>
      <c r="G578" s="417">
        <v>2.0228605314575074</v>
      </c>
      <c r="H578" s="417">
        <v>1.9433682247507724</v>
      </c>
      <c r="I578" s="417">
        <v>1.9007613631534672</v>
      </c>
      <c r="J578" s="417">
        <v>1.8623005422719945</v>
      </c>
      <c r="K578" s="417">
        <v>1.8312791968006938</v>
      </c>
      <c r="L578" s="418">
        <v>1.8088018192115236</v>
      </c>
      <c r="M578" s="115"/>
    </row>
    <row r="579" spans="1:13" outlineLevel="2">
      <c r="A579" s="366"/>
      <c r="B579" s="367"/>
      <c r="C579" s="151" t="str">
        <f t="shared" si="16"/>
        <v>Source SECTEN 2024, projections CITEPA - CCUS comptés en puits, périmètre Kyoto</v>
      </c>
      <c r="D579" s="115"/>
      <c r="E579" s="610" t="s">
        <v>963</v>
      </c>
      <c r="F579" s="610"/>
      <c r="G579" s="610"/>
      <c r="H579" s="610"/>
      <c r="I579" s="610"/>
      <c r="J579" s="610"/>
      <c r="K579" s="610"/>
      <c r="L579" s="610"/>
      <c r="M579" s="115"/>
    </row>
    <row r="580" spans="1:13" s="283" customFormat="1" outlineLevel="2">
      <c r="A580" s="366"/>
      <c r="B580" s="367"/>
      <c r="C580" s="151"/>
      <c r="D580" s="115"/>
      <c r="E580" s="288"/>
      <c r="F580" s="288"/>
      <c r="G580" s="288"/>
      <c r="H580" s="288"/>
      <c r="I580" s="288"/>
      <c r="J580" s="288"/>
      <c r="K580" s="288"/>
      <c r="L580" s="288"/>
      <c r="M580" s="115"/>
    </row>
    <row r="581" spans="1:13" outlineLevel="1">
      <c r="A581" s="366"/>
      <c r="B581" s="367"/>
      <c r="C581" s="151" t="str">
        <f t="shared" si="16"/>
        <v/>
      </c>
      <c r="D581" s="115"/>
      <c r="E581" s="115"/>
      <c r="F581" s="115"/>
      <c r="G581" s="115"/>
      <c r="H581" s="115"/>
      <c r="I581" s="115"/>
      <c r="J581" s="115"/>
      <c r="K581" s="115"/>
      <c r="L581" s="115"/>
      <c r="M581" s="115"/>
    </row>
  </sheetData>
  <mergeCells count="99">
    <mergeCell ref="F563:M563"/>
    <mergeCell ref="E567:L567"/>
    <mergeCell ref="E579:L579"/>
    <mergeCell ref="E538:L538"/>
    <mergeCell ref="E511:L511"/>
    <mergeCell ref="F514:M514"/>
    <mergeCell ref="E540:L540"/>
    <mergeCell ref="E560:L560"/>
    <mergeCell ref="E237:L237"/>
    <mergeCell ref="E250:L250"/>
    <mergeCell ref="E252:L252"/>
    <mergeCell ref="E265:L265"/>
    <mergeCell ref="D562:F562"/>
    <mergeCell ref="D510:G510"/>
    <mergeCell ref="E518:L518"/>
    <mergeCell ref="E393:L393"/>
    <mergeCell ref="E419:L419"/>
    <mergeCell ref="F421:M421"/>
    <mergeCell ref="E391:L391"/>
    <mergeCell ref="E310:L310"/>
    <mergeCell ref="E312:L312"/>
    <mergeCell ref="E280:L280"/>
    <mergeCell ref="E282:L282"/>
    <mergeCell ref="E325:L325"/>
    <mergeCell ref="D31:F31"/>
    <mergeCell ref="E114:L114"/>
    <mergeCell ref="E116:L116"/>
    <mergeCell ref="E129:L129"/>
    <mergeCell ref="E131:L131"/>
    <mergeCell ref="E68:L68"/>
    <mergeCell ref="E36:L36"/>
    <mergeCell ref="F94:M94"/>
    <mergeCell ref="E97:L97"/>
    <mergeCell ref="E98:L98"/>
    <mergeCell ref="E101:L101"/>
    <mergeCell ref="E91:L91"/>
    <mergeCell ref="E372:L372"/>
    <mergeCell ref="E385:L385"/>
    <mergeCell ref="E327:L327"/>
    <mergeCell ref="E340:L340"/>
    <mergeCell ref="E342:L342"/>
    <mergeCell ref="E355:L355"/>
    <mergeCell ref="E357:L357"/>
    <mergeCell ref="E370:L370"/>
    <mergeCell ref="E297:L297"/>
    <mergeCell ref="E267:L267"/>
    <mergeCell ref="E144:L144"/>
    <mergeCell ref="E146:L146"/>
    <mergeCell ref="E176:L176"/>
    <mergeCell ref="E189:L189"/>
    <mergeCell ref="E159:L159"/>
    <mergeCell ref="E161:L161"/>
    <mergeCell ref="E174:L174"/>
    <mergeCell ref="E295:L295"/>
    <mergeCell ref="E235:L235"/>
    <mergeCell ref="E191:L191"/>
    <mergeCell ref="E204:L204"/>
    <mergeCell ref="E206:L206"/>
    <mergeCell ref="E219:L219"/>
    <mergeCell ref="E221:L221"/>
    <mergeCell ref="E1:M1"/>
    <mergeCell ref="F11:M11"/>
    <mergeCell ref="E8:L8"/>
    <mergeCell ref="E15:L15"/>
    <mergeCell ref="H4:I4"/>
    <mergeCell ref="L4:M4"/>
    <mergeCell ref="F4:G4"/>
    <mergeCell ref="E475:L475"/>
    <mergeCell ref="E477:L477"/>
    <mergeCell ref="E425:L425"/>
    <mergeCell ref="E436:L436"/>
    <mergeCell ref="E17:L17"/>
    <mergeCell ref="E29:L29"/>
    <mergeCell ref="F32:M32"/>
    <mergeCell ref="E35:L35"/>
    <mergeCell ref="E38:L38"/>
    <mergeCell ref="E54:L54"/>
    <mergeCell ref="E56:L56"/>
    <mergeCell ref="F387:M387"/>
    <mergeCell ref="E390:L390"/>
    <mergeCell ref="E70:L70"/>
    <mergeCell ref="E80:L80"/>
    <mergeCell ref="E82:L82"/>
    <mergeCell ref="O3:Q3"/>
    <mergeCell ref="R3:T3"/>
    <mergeCell ref="J3:M3"/>
    <mergeCell ref="E499:L499"/>
    <mergeCell ref="E501:L501"/>
    <mergeCell ref="F5:G5"/>
    <mergeCell ref="L5:M5"/>
    <mergeCell ref="E3:I3"/>
    <mergeCell ref="H5:I5"/>
    <mergeCell ref="J4:K4"/>
    <mergeCell ref="J5:K5"/>
    <mergeCell ref="F438:M438"/>
    <mergeCell ref="E442:L442"/>
    <mergeCell ref="E469:L469"/>
    <mergeCell ref="F471:M471"/>
    <mergeCell ref="E474:L474"/>
  </mergeCells>
  <conditionalFormatting sqref="F520:L537">
    <cfRule type="cellIs" dxfId="362" priority="4" operator="greaterThan">
      <formula>0</formula>
    </cfRule>
  </conditionalFormatting>
  <conditionalFormatting sqref="I542:L559">
    <cfRule type="cellIs" dxfId="361" priority="3" operator="greaterThan">
      <formula>0</formula>
    </cfRule>
  </conditionalFormatting>
  <conditionalFormatting sqref="F542:F559">
    <cfRule type="cellIs" dxfId="360" priority="2" operator="greaterThan">
      <formula>0</formula>
    </cfRule>
  </conditionalFormatting>
  <conditionalFormatting sqref="G542:H559">
    <cfRule type="cellIs" dxfId="359" priority="1" operator="greaterThan">
      <formula>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Spinner 1">
              <controlPr defaultSize="0" autoPict="0">
                <anchor moveWithCells="1" sizeWithCells="1">
                  <from>
                    <xdr:col>13</xdr:col>
                    <xdr:colOff>617220</xdr:colOff>
                    <xdr:row>3</xdr:row>
                    <xdr:rowOff>0</xdr:rowOff>
                  </from>
                  <to>
                    <xdr:col>13</xdr:col>
                    <xdr:colOff>861060</xdr:colOff>
                    <xdr:row>5</xdr:row>
                    <xdr:rowOff>0</xdr:rowOff>
                  </to>
                </anchor>
              </controlPr>
            </control>
          </mc:Choice>
        </mc:AlternateContent>
        <mc:AlternateContent xmlns:mc="http://schemas.openxmlformats.org/markup-compatibility/2006">
          <mc:Choice Requires="x14">
            <control shapeId="1028" r:id="rId5" name="Spinner 4">
              <controlPr defaultSize="0" autoPict="0">
                <anchor moveWithCells="1" sizeWithCells="1">
                  <from>
                    <xdr:col>3</xdr:col>
                    <xdr:colOff>236220</xdr:colOff>
                    <xdr:row>3</xdr:row>
                    <xdr:rowOff>0</xdr:rowOff>
                  </from>
                  <to>
                    <xdr:col>3</xdr:col>
                    <xdr:colOff>480060</xdr:colOff>
                    <xdr:row>4</xdr:row>
                    <xdr:rowOff>327660</xdr:rowOff>
                  </to>
                </anchor>
              </controlPr>
            </control>
          </mc:Choice>
        </mc:AlternateContent>
      </controls>
    </mc:Choice>
  </mc:AlternateContent>
  <tableParts count="2">
    <tablePart r:id="rId6"/>
    <tablePart r:id="rId7"/>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E7CD0"/>
  </sheetPr>
  <dimension ref="A1:T368"/>
  <sheetViews>
    <sheetView showGridLines="0" zoomScale="85" zoomScaleNormal="85" workbookViewId="0">
      <pane ySplit="6" topLeftCell="A7" activePane="bottomLeft" state="frozen"/>
      <selection pane="bottomLeft" activeCell="P4" sqref="P4"/>
    </sheetView>
  </sheetViews>
  <sheetFormatPr baseColWidth="10" defaultRowHeight="14.4" outlineLevelRow="4"/>
  <cols>
    <col min="1" max="1" width="3.109375" customWidth="1"/>
    <col min="2" max="2" width="3.109375" style="114" customWidth="1"/>
    <col min="3" max="3" width="3.109375" customWidth="1"/>
    <col min="4" max="4" width="7.33203125" customWidth="1"/>
    <col min="5" max="5" width="32.6640625" customWidth="1"/>
    <col min="8" max="8" width="11.5546875" customWidth="1"/>
    <col min="10" max="10" width="11.5546875" customWidth="1"/>
    <col min="12" max="12" width="11.5546875" customWidth="1"/>
    <col min="13" max="13" width="10.88671875" customWidth="1"/>
    <col min="14" max="14" width="12.5546875" customWidth="1"/>
    <col min="15" max="15" width="13.5546875" customWidth="1"/>
    <col min="16" max="16" width="13" customWidth="1"/>
  </cols>
  <sheetData>
    <row r="1" spans="1:20" ht="25.95" customHeight="1" thickBot="1">
      <c r="D1" s="368"/>
      <c r="E1" s="619" t="s">
        <v>118</v>
      </c>
      <c r="F1" s="619"/>
      <c r="G1" s="619"/>
      <c r="H1" s="619"/>
      <c r="I1" s="619"/>
      <c r="J1" s="619"/>
      <c r="K1" s="619"/>
      <c r="L1" s="619"/>
      <c r="M1" s="619"/>
    </row>
    <row r="2" spans="1:20" ht="10.95" customHeight="1" thickTop="1">
      <c r="D2" s="2"/>
      <c r="E2" s="150"/>
      <c r="F2" s="150"/>
      <c r="G2" s="150"/>
      <c r="H2" s="150"/>
      <c r="I2" s="150"/>
      <c r="J2" s="150"/>
      <c r="K2" s="150"/>
      <c r="L2" s="150"/>
      <c r="M2" s="150"/>
    </row>
    <row r="3" spans="1:20" ht="28.95" customHeight="1">
      <c r="D3" s="2"/>
      <c r="E3" s="620" t="str">
        <f>HYPERLINK("#Agriculture!E"&amp;TEXT(MATCH(E8,C1:C1204,0),"#"),E8)</f>
        <v>Hypothèses</v>
      </c>
      <c r="F3" s="621"/>
      <c r="G3" s="621"/>
      <c r="H3" s="621"/>
      <c r="I3" s="621"/>
      <c r="J3" s="631" t="str">
        <f>HYPERLINK("#Agriculture!E"&amp;TEXT(MATCH(E312,C1:C1204,0),"#"),E312)</f>
        <v>Résultats</v>
      </c>
      <c r="K3" s="631"/>
      <c r="L3" s="631"/>
      <c r="M3" s="631"/>
      <c r="O3" s="623" t="s">
        <v>181</v>
      </c>
      <c r="P3" s="623"/>
      <c r="Q3" s="623"/>
      <c r="R3" s="628" t="s">
        <v>137</v>
      </c>
      <c r="S3" s="628"/>
      <c r="T3" s="628"/>
    </row>
    <row r="4" spans="1:20" ht="26.4" customHeight="1">
      <c r="D4" s="184"/>
      <c r="E4" s="357" t="str">
        <f>IFERROR(IF(Moteur!$D$14=3,HYPERLINK("#"&amp;$E$1&amp;"!E"&amp;TEXT(MATCH(Moteur!F20,$C1:$C1199,0),"#"),Moteur!F20),IF(Moteur!$D$14=2,HYPERLINK("#"&amp;$E$1&amp;"!E"&amp;TEXT(MATCH(Moteur!F21,$C1:$C1199,0),"#"),Moteur!F21),HYPERLINK("#"&amp;$E$1&amp;"!E"&amp;TEXT(MATCH(Moteur!F22,$C1:$C1199,0),"#"),Moteur!F22))),"")</f>
        <v>Régimes alimentaires</v>
      </c>
      <c r="F4" s="624" t="str">
        <f>IFERROR(IF(Moteur!$D$14=3,HYPERLINK("#"&amp;$E$1&amp;"!E"&amp;TEXT(MATCH(Moteur!G20,$C1:$C1199,0),"#"),Moteur!G20),IF(Moteur!$D$14=2,HYPERLINK("#"&amp;$E$1&amp;"!E"&amp;TEXT(MATCH(Moteur!G21,$C1:$C1199,0),"#"),Moteur!G21),HYPERLINK("#"&amp;$E$1&amp;"!E"&amp;TEXT(MATCH(Moteur!G22,$C1:$C1199,0),"#"),Moteur!G22))),"")</f>
        <v>Elevage</v>
      </c>
      <c r="G4" s="625"/>
      <c r="H4" s="624" t="str">
        <f>IFERROR(IF(Moteur!$D$14=3,HYPERLINK("#"&amp;$E$1&amp;"!E"&amp;TEXT(MATCH(Moteur!H20,$C1:$C1199,0),"#"),Moteur!H20),IF(Moteur!$D$14=2,HYPERLINK("#"&amp;$E$1&amp;"!E"&amp;TEXT(MATCH(Moteur!H21,$C1:$C1199,0),"#"),Moteur!H21),HYPERLINK("#"&amp;$E$1&amp;"!E"&amp;TEXT(MATCH(Moteur!H22,$C1:$C1199,0),"#"),Moteur!H22))),"")</f>
        <v>Cultures et prairies</v>
      </c>
      <c r="I4" s="625"/>
      <c r="J4" s="632" t="str">
        <f>HYPERLINK("#"&amp;$E$1&amp;"!E"&amp;TEXT(MATCH(F346,$C1:$C1204,0),"#"),F346)</f>
        <v>Emissions de gaz à effet de serre</v>
      </c>
      <c r="K4" s="633"/>
      <c r="L4" s="640" t="str">
        <f>HYPERLINK("#"&amp;$E$1&amp;"!E"&amp;TEXT(MATCH(F315,$C1:$C1204,0),"#"),F315)</f>
        <v>Consommations d'énergie</v>
      </c>
      <c r="M4" s="633"/>
      <c r="O4" s="359" t="str">
        <f>IF(Moteur!$D$6=3,HYPERLINK("#"&amp;Moteur!F5&amp;"!E1",Moteur!F5),IF(Moteur!$D$6=2,HYPERLINK("#"&amp;Moteur!F6&amp;"!E1",Moteur!F6),HYPERLINK("#"&amp;Moteur!F7&amp;"!E1",Moteur!F7)))</f>
        <v>Cadrage</v>
      </c>
      <c r="P4" s="359" t="str">
        <f>IF(Moteur!$D$6=3,HYPERLINK("#"&amp;Moteur!G5&amp;"!E1",Moteur!G5),IF(Moteur!$D$6=2,HYPERLINK("#"&amp;Moteur!G6&amp;"!E1",Moteur!G6),HYPERLINK("#"&amp;Moteur!G7&amp;"!E1",Moteur!G7)))</f>
        <v>Industrie</v>
      </c>
      <c r="Q4" s="360" t="str">
        <f>IF(Moteur!$D$6=3,HYPERLINK("#"&amp;Moteur!H5&amp;"!E1",Moteur!H5),IF(Moteur!$D$6=2,HYPERLINK("#"&amp;Moteur!H6&amp;"!E1",Moteur!H6),HYPERLINK("#"&amp;Moteur!H7&amp;"!E1",Moteur!H7)))</f>
        <v>Agriculture</v>
      </c>
      <c r="R4" s="362" t="str">
        <f>IF(Moteur!$D$6=3,HYPERLINK("#"&amp;Moteur!J5&amp;"!E1",Moteur!J5),IF(Moteur!$D$6=2,HYPERLINK("#"&amp;Moteur!J5&amp;"!E1",Moteur!J5),HYPERLINK("#"&amp;Moteur!J5&amp;"!E1",Moteur!J5)))</f>
        <v>Bilans</v>
      </c>
      <c r="S4" s="358" t="str">
        <f>IF(Moteur!$D$6=3,HYPERLINK("#"&amp;Moteur!K5&amp;"!E1",Moteur!K5),IF(Moteur!$D$6=2,HYPERLINK("#"&amp;Moteur!K5&amp;"!E1",Moteur!K5),HYPERLINK("#"&amp;Moteur!K5&amp;"!E1",Moteur!K5)))</f>
        <v>GES</v>
      </c>
      <c r="T4" s="478">
        <f>IF(Moteur!$D$6=3,HYPERLINK("#"&amp;Moteur!L5&amp;"!E1",Moteur!L5),IF(Moteur!$D$6=2,HYPERLINK("#"&amp;Moteur!L5&amp;"!E1",Moteur!L5),HYPERLINK("#"&amp;Moteur!L5&amp;"!E1",Moteur!L5)))</f>
        <v>0</v>
      </c>
    </row>
    <row r="5" spans="1:20" ht="26.4" customHeight="1">
      <c r="D5" s="184"/>
      <c r="E5" s="357" t="str">
        <f>IFERROR(IF(Moteur!$D$14=3,HYPERLINK("#"&amp;$E$1&amp;"!E"&amp;TEXT(MATCH(Moteur!F21,$C1:$C1204,0),"#"),Moteur!F21),IF(Moteur!$D$14=2,HYPERLINK("#"&amp;$E$1&amp;"!E"&amp;TEXT(MATCH(Moteur!F22,$C1:$C1204,0),"#"),Moteur!F22),HYPERLINK("#"&amp;$E$1&amp;"!E"&amp;TEXT(MATCH(Moteur!F23,$C1:$C1204,0),"#"),Moteur!F23))),"")</f>
        <v>Energie</v>
      </c>
      <c r="F5" s="624" t="str">
        <f>IFERROR(IF(Moteur!$D$14=3,HYPERLINK("#"&amp;$E$1&amp;"!E"&amp;TEXT(MATCH(Moteur!G15,$C1:$C1204,0),"#"),Moteur!G15),IF(Moteur!$D$14=2,HYPERLINK("#"&amp;$E$1&amp;"!E"&amp;TEXT(MATCH(Moteur!G16,$C1:$C1204,0),"#"),Moteur!G16),HYPERLINK("#"&amp;$E$1&amp;"!E"&amp;TEXT(MATCH(Moteur!G17,$C1:$C1204,0),"#"),Moteur!G17))),"")</f>
        <v/>
      </c>
      <c r="G5" s="625"/>
      <c r="H5" s="624" t="str">
        <f>IFERROR(IF(Moteur!$D$14=3,HYPERLINK("#"&amp;$E$1&amp;"!E"&amp;TEXT(MATCH(Moteur!H15,$C1:$C1204,0),"#"),Moteur!H15),IF(Moteur!$D$14=2,HYPERLINK("#"&amp;$E$1&amp;"!E"&amp;TEXT(MATCH(Moteur!H16,$C1:$C1204,0),"#"),Moteur!H16),HYPERLINK("#"&amp;$E$1&amp;"!E"&amp;TEXT(MATCH(Moteur!H17,$C1:$C1204,0),"#"),Moteur!H17))),"")</f>
        <v/>
      </c>
      <c r="I5" s="625"/>
      <c r="J5" s="632"/>
      <c r="K5" s="633"/>
      <c r="L5" s="632"/>
      <c r="M5" s="633"/>
      <c r="O5" s="359" t="str">
        <f>IF(Moteur!$D$6=3,HYPERLINK("#"&amp;Moteur!F6&amp;"!E1",Moteur!F6),IF(Moteur!$D$6=2,HYPERLINK("#"&amp;Moteur!F7&amp;"!E1",Moteur!F7),""))</f>
        <v>Energie</v>
      </c>
      <c r="P5" s="359" t="str">
        <f>IF(Moteur!$D$6=3,HYPERLINK("#"&amp;Moteur!G6&amp;"!E1",Moteur!G6),IF(Moteur!$D$6=2,HYPERLINK("#"&amp;Moteur!G7&amp;"!E1",Moteur!G7),""))</f>
        <v>Transports</v>
      </c>
      <c r="Q5" s="361" t="str">
        <f>IF(Moteur!$D$6=3,HYPERLINK("#"&amp;Moteur!H6&amp;"!E1",Moteur!H6),IF(Moteur!$D$6=2,HYPERLINK("#"&amp;Moteur!H7&amp;"!E1",Moteur!H7),""))</f>
        <v>Déchets</v>
      </c>
      <c r="R5" s="479">
        <f>IF(Moteur!$D$6=3,HYPERLINK("#"&amp;Moteur!J6&amp;"!E1",Moteur!J6),IF(Moteur!$D$6=2,HYPERLINK("#"&amp;Moteur!J7&amp;"!E1",Moteur!J6),HYPERLINK("#"&amp;Moteur!J5&amp;"!E1",Moteur!J6)))</f>
        <v>0</v>
      </c>
      <c r="S5" s="358" t="str">
        <f>IF(Moteur!$D$6=3,HYPERLINK("#"&amp;Moteur!K6&amp;"!E1",Moteur!K6),IF(Moteur!$D$6=2,HYPERLINK("#"&amp;Moteur!K7&amp;"!E1",Moteur!K6),HYPERLINK("#"&amp;Moteur!K5&amp;"!E1",Moteur!K6)))</f>
        <v xml:space="preserve"> </v>
      </c>
      <c r="T5" s="358" t="str">
        <f>IF(Moteur!$D$6=3,HYPERLINK("#"&amp;Moteur!L6&amp;"!E1",Moteur!L6),IF(Moteur!$D$6=2,HYPERLINK("#"&amp;Moteur!L7&amp;"!E1",Moteur!L6),HYPERLINK("#"&amp;Moteur!L5&amp;"!E1",Moteur!L6)))</f>
        <v xml:space="preserve"> </v>
      </c>
    </row>
    <row r="6" spans="1:20" ht="11.4" customHeight="1">
      <c r="E6" s="152"/>
      <c r="F6" s="152"/>
      <c r="G6" s="152"/>
      <c r="H6" s="152"/>
      <c r="I6" s="152"/>
      <c r="J6" s="152"/>
      <c r="K6" s="152"/>
    </row>
    <row r="8" spans="1:20" ht="32.4" customHeight="1" thickBot="1">
      <c r="A8" s="363"/>
      <c r="C8" s="151" t="str">
        <f>IF(ISBLANK(E8),IF(ISBLANK(F8),"",F8),E8)</f>
        <v>Hypothèses</v>
      </c>
      <c r="D8" s="369"/>
      <c r="E8" s="617" t="s">
        <v>134</v>
      </c>
      <c r="F8" s="617"/>
      <c r="G8" s="617"/>
      <c r="H8" s="617"/>
      <c r="I8" s="617"/>
      <c r="J8" s="617"/>
      <c r="K8" s="617"/>
      <c r="L8" s="617"/>
      <c r="M8" s="369"/>
      <c r="N8" s="149"/>
    </row>
    <row r="9" spans="1:20" ht="15" thickTop="1">
      <c r="A9" s="363"/>
      <c r="C9" s="151" t="str">
        <f t="shared" ref="C9:C86" si="0">IF(ISBLANK(E9),IF(ISBLANK(F9),"",F9),E9)</f>
        <v/>
      </c>
      <c r="D9" s="3"/>
      <c r="E9" s="3"/>
      <c r="F9" s="3"/>
      <c r="G9" s="3"/>
      <c r="H9" s="3"/>
      <c r="I9" s="3"/>
      <c r="J9" s="3"/>
      <c r="K9" s="3"/>
      <c r="L9" s="3"/>
      <c r="M9" s="3"/>
    </row>
    <row r="10" spans="1:20" ht="14.4" customHeight="1">
      <c r="A10" s="363"/>
      <c r="C10" s="151" t="str">
        <f t="shared" si="0"/>
        <v/>
      </c>
      <c r="D10" s="112"/>
      <c r="E10" s="113"/>
      <c r="F10" s="113"/>
      <c r="G10" s="113"/>
      <c r="H10" s="113"/>
      <c r="I10" s="113"/>
      <c r="J10" s="113"/>
      <c r="K10" s="113"/>
      <c r="L10" s="113"/>
      <c r="M10" s="3"/>
    </row>
    <row r="11" spans="1:20" ht="28.8" thickBot="1">
      <c r="A11" s="363"/>
      <c r="B11" s="364"/>
      <c r="C11" s="151" t="str">
        <f t="shared" si="0"/>
        <v>Régimes alimentaires</v>
      </c>
      <c r="D11" s="369"/>
      <c r="E11" s="370"/>
      <c r="F11" s="617" t="s">
        <v>348</v>
      </c>
      <c r="G11" s="617"/>
      <c r="H11" s="617"/>
      <c r="I11" s="617"/>
      <c r="J11" s="617"/>
      <c r="K11" s="617"/>
      <c r="L11" s="617"/>
      <c r="M11" s="617"/>
    </row>
    <row r="12" spans="1:20" ht="15" thickTop="1">
      <c r="A12" s="363"/>
      <c r="B12" s="364"/>
      <c r="C12" s="151" t="str">
        <f t="shared" si="0"/>
        <v/>
      </c>
    </row>
    <row r="13" spans="1:20" outlineLevel="1">
      <c r="A13" s="363"/>
      <c r="B13" s="364"/>
      <c r="C13" s="151" t="str">
        <f t="shared" si="0"/>
        <v/>
      </c>
      <c r="D13" s="115"/>
      <c r="E13" s="115"/>
      <c r="F13" s="115"/>
      <c r="G13" s="115"/>
      <c r="H13" s="115"/>
      <c r="I13" s="115"/>
      <c r="J13" s="115"/>
      <c r="K13" s="115"/>
      <c r="L13" s="115"/>
      <c r="M13" s="115"/>
    </row>
    <row r="14" spans="1:20" ht="19.2" outlineLevel="1">
      <c r="A14" s="363"/>
      <c r="B14" s="364"/>
      <c r="C14" s="151" t="str">
        <f t="shared" si="0"/>
        <v>Compléments</v>
      </c>
      <c r="D14" s="115"/>
      <c r="E14" s="125" t="s">
        <v>139</v>
      </c>
      <c r="F14" s="115"/>
      <c r="G14" s="115"/>
      <c r="H14" s="115"/>
      <c r="I14" s="115"/>
      <c r="J14" s="115"/>
      <c r="K14" s="115"/>
      <c r="L14" s="115"/>
      <c r="M14" s="115"/>
    </row>
    <row r="15" spans="1:20" ht="58.95" customHeight="1" outlineLevel="1">
      <c r="A15" s="363"/>
      <c r="B15" s="364"/>
      <c r="C15" s="151" t="str">
        <f t="shared" si="0"/>
        <v>La méthodologie est de traduire, en repartant du régime moyen observé dans l’étude INCA-3 (considéré comme le régime de la population en 2020), l’évolution nette de la part de la population effectuant une transition vers des régimes dits « optimisés ». Ceci permet de finalement en déduire le régime moyen de la population.</v>
      </c>
      <c r="D15" s="115"/>
      <c r="E15" s="613" t="s">
        <v>1067</v>
      </c>
      <c r="F15" s="614"/>
      <c r="G15" s="614"/>
      <c r="H15" s="614"/>
      <c r="I15" s="614"/>
      <c r="J15" s="614"/>
      <c r="K15" s="614"/>
      <c r="L15" s="614"/>
      <c r="M15" s="115"/>
    </row>
    <row r="16" spans="1:20" outlineLevel="1">
      <c r="A16" s="363"/>
      <c r="B16" s="364"/>
      <c r="C16" s="151" t="str">
        <f t="shared" si="0"/>
        <v/>
      </c>
      <c r="D16" s="115"/>
      <c r="E16" s="115"/>
      <c r="F16" s="115"/>
      <c r="G16" s="115"/>
      <c r="H16" s="115"/>
      <c r="I16" s="115"/>
      <c r="J16" s="115"/>
      <c r="K16" s="115"/>
      <c r="L16" s="115"/>
      <c r="M16" s="115"/>
    </row>
    <row r="17" spans="1:13" ht="15" outlineLevel="1" thickBot="1">
      <c r="A17" s="363"/>
      <c r="B17" s="364"/>
      <c r="C17" s="151" t="str">
        <f t="shared" si="0"/>
        <v>Evolution du régime moyen de la population</v>
      </c>
      <c r="D17" s="115"/>
      <c r="E17" s="615" t="s">
        <v>1068</v>
      </c>
      <c r="F17" s="615"/>
      <c r="G17" s="615"/>
      <c r="H17" s="615"/>
      <c r="I17" s="615"/>
      <c r="J17" s="615"/>
      <c r="K17" s="615"/>
      <c r="L17" s="615"/>
      <c r="M17" s="115"/>
    </row>
    <row r="18" spans="1:13" outlineLevel="2">
      <c r="A18" s="363"/>
      <c r="B18" s="364"/>
      <c r="C18" s="151" t="str">
        <f t="shared" si="0"/>
        <v>gramme/personne/jour</v>
      </c>
      <c r="D18" s="115"/>
      <c r="E18" s="200" t="s">
        <v>349</v>
      </c>
      <c r="F18" s="201" t="s">
        <v>677</v>
      </c>
      <c r="G18" s="201" t="s">
        <v>314</v>
      </c>
      <c r="H18" s="201" t="s">
        <v>125</v>
      </c>
      <c r="I18" s="201" t="s">
        <v>315</v>
      </c>
      <c r="J18" s="201" t="s">
        <v>316</v>
      </c>
      <c r="K18" s="201" t="s">
        <v>317</v>
      </c>
      <c r="L18" s="202" t="s">
        <v>133</v>
      </c>
      <c r="M18" s="115"/>
    </row>
    <row r="19" spans="1:13" outlineLevel="2">
      <c r="A19" s="363"/>
      <c r="B19" s="364"/>
      <c r="C19" s="151" t="str">
        <f t="shared" si="0"/>
        <v>Légumes</v>
      </c>
      <c r="D19" s="115"/>
      <c r="E19" s="193" t="s">
        <v>350</v>
      </c>
      <c r="F19" s="214">
        <v>168</v>
      </c>
      <c r="G19" s="133"/>
      <c r="H19" s="230">
        <v>171.505</v>
      </c>
      <c r="I19" s="230"/>
      <c r="J19" s="230"/>
      <c r="K19" s="230"/>
      <c r="L19" s="436">
        <v>178.51500000000001</v>
      </c>
      <c r="M19" s="115"/>
    </row>
    <row r="20" spans="1:13" outlineLevel="2">
      <c r="A20" s="363"/>
      <c r="B20" s="364"/>
      <c r="C20" s="151" t="str">
        <f t="shared" si="0"/>
        <v>Fruits frais</v>
      </c>
      <c r="D20" s="115"/>
      <c r="E20" s="193" t="s">
        <v>351</v>
      </c>
      <c r="F20" s="214">
        <v>117.5</v>
      </c>
      <c r="G20" s="133"/>
      <c r="H20" s="230">
        <v>121.06</v>
      </c>
      <c r="I20" s="581"/>
      <c r="J20" s="230"/>
      <c r="K20" s="230"/>
      <c r="L20" s="230">
        <v>128.18</v>
      </c>
      <c r="M20" s="115"/>
    </row>
    <row r="21" spans="1:13" outlineLevel="2">
      <c r="A21" s="363"/>
      <c r="B21" s="364"/>
      <c r="C21" s="151" t="str">
        <f t="shared" si="0"/>
        <v>Noix, graines</v>
      </c>
      <c r="D21" s="115"/>
      <c r="E21" s="193" t="s">
        <v>352</v>
      </c>
      <c r="F21" s="214">
        <v>2.5</v>
      </c>
      <c r="G21" s="133"/>
      <c r="H21" s="230">
        <v>2.8649999999999998</v>
      </c>
      <c r="I21" s="581"/>
      <c r="J21" s="230"/>
      <c r="K21" s="230"/>
      <c r="L21" s="230">
        <v>3.5949999999999998</v>
      </c>
      <c r="M21" s="115"/>
    </row>
    <row r="22" spans="1:13" outlineLevel="2">
      <c r="A22" s="363"/>
      <c r="B22" s="364"/>
      <c r="C22" s="151" t="str">
        <f t="shared" si="0"/>
        <v>Pain et farine raffinés</v>
      </c>
      <c r="D22" s="115"/>
      <c r="E22" s="193" t="s">
        <v>353</v>
      </c>
      <c r="F22" s="214">
        <v>141.5</v>
      </c>
      <c r="G22" s="133"/>
      <c r="H22" s="230">
        <v>137.81</v>
      </c>
      <c r="I22" s="581"/>
      <c r="J22" s="230"/>
      <c r="K22" s="230"/>
      <c r="L22" s="230">
        <v>130.43</v>
      </c>
      <c r="M22" s="115"/>
    </row>
    <row r="23" spans="1:13" ht="28.8" outlineLevel="2">
      <c r="A23" s="363"/>
      <c r="B23" s="364"/>
      <c r="C23" s="151" t="str">
        <f t="shared" si="0"/>
        <v>Pain et farine complets ou semi-complets</v>
      </c>
      <c r="D23" s="115"/>
      <c r="E23" s="589" t="s">
        <v>354</v>
      </c>
      <c r="F23" s="214">
        <v>13</v>
      </c>
      <c r="G23" s="133"/>
      <c r="H23" s="230">
        <v>15.994999999999999</v>
      </c>
      <c r="I23" s="581"/>
      <c r="J23" s="230"/>
      <c r="K23" s="230"/>
      <c r="L23" s="230">
        <v>21.984999999999996</v>
      </c>
      <c r="M23" s="115"/>
    </row>
    <row r="24" spans="1:13" outlineLevel="2">
      <c r="A24" s="363"/>
      <c r="B24" s="364"/>
      <c r="C24" s="151" t="str">
        <f t="shared" si="0"/>
        <v>Légumineuses</v>
      </c>
      <c r="D24" s="115"/>
      <c r="E24" s="196" t="s">
        <v>355</v>
      </c>
      <c r="F24" s="214">
        <v>9.5</v>
      </c>
      <c r="G24" s="133"/>
      <c r="H24" s="230">
        <v>12.125</v>
      </c>
      <c r="I24" s="581"/>
      <c r="J24" s="230"/>
      <c r="K24" s="230"/>
      <c r="L24" s="230">
        <v>17.375</v>
      </c>
      <c r="M24" s="115"/>
    </row>
    <row r="25" spans="1:13" outlineLevel="2">
      <c r="A25" s="363"/>
      <c r="B25" s="364"/>
      <c r="C25" s="151" t="str">
        <f t="shared" si="0"/>
        <v>Volaille</v>
      </c>
      <c r="D25" s="115"/>
      <c r="E25" s="193" t="s">
        <v>356</v>
      </c>
      <c r="F25" s="214">
        <v>30.5</v>
      </c>
      <c r="G25" s="133"/>
      <c r="H25" s="230">
        <v>30.205000000000002</v>
      </c>
      <c r="I25" s="581"/>
      <c r="J25" s="230"/>
      <c r="K25" s="230"/>
      <c r="L25" s="230">
        <v>29.614999999999998</v>
      </c>
      <c r="M25" s="115"/>
    </row>
    <row r="26" spans="1:13" outlineLevel="2">
      <c r="A26" s="363"/>
      <c r="B26" s="364"/>
      <c r="C26" s="151" t="str">
        <f t="shared" si="0"/>
        <v>Viande bovine</v>
      </c>
      <c r="D26" s="115"/>
      <c r="E26" s="193" t="s">
        <v>357</v>
      </c>
      <c r="F26" s="214">
        <v>38</v>
      </c>
      <c r="G26" s="136"/>
      <c r="H26" s="230">
        <v>36.950000000000003</v>
      </c>
      <c r="I26" s="581"/>
      <c r="J26" s="230"/>
      <c r="K26" s="230"/>
      <c r="L26" s="230">
        <v>34.85</v>
      </c>
      <c r="M26" s="115"/>
    </row>
    <row r="27" spans="1:13" outlineLevel="2">
      <c r="A27" s="363"/>
      <c r="B27" s="364"/>
      <c r="C27" s="151" t="str">
        <f t="shared" si="0"/>
        <v>Viande de porc</v>
      </c>
      <c r="D27" s="115"/>
      <c r="E27" s="193" t="s">
        <v>358</v>
      </c>
      <c r="F27" s="214">
        <v>20</v>
      </c>
      <c r="G27" s="136"/>
      <c r="H27" s="230">
        <v>19.399999999999999</v>
      </c>
      <c r="I27" s="581"/>
      <c r="J27" s="230"/>
      <c r="K27" s="230"/>
      <c r="L27" s="230">
        <v>18.2</v>
      </c>
      <c r="M27" s="115"/>
    </row>
    <row r="28" spans="1:13" outlineLevel="2">
      <c r="A28" s="363"/>
      <c r="B28" s="364"/>
      <c r="C28" s="151" t="str">
        <f t="shared" si="0"/>
        <v>Viande transformée</v>
      </c>
      <c r="D28" s="115"/>
      <c r="E28" s="193" t="s">
        <v>359</v>
      </c>
      <c r="F28" s="214">
        <v>40</v>
      </c>
      <c r="G28" s="136"/>
      <c r="H28" s="230">
        <v>38.869999999999997</v>
      </c>
      <c r="I28" s="581"/>
      <c r="J28" s="230"/>
      <c r="K28" s="230"/>
      <c r="L28" s="230">
        <v>36.61</v>
      </c>
      <c r="M28" s="115"/>
    </row>
    <row r="29" spans="1:13" outlineLevel="2">
      <c r="A29" s="363"/>
      <c r="B29" s="364"/>
      <c r="C29" s="151" t="str">
        <f t="shared" si="0"/>
        <v>Poissons gras</v>
      </c>
      <c r="D29" s="115"/>
      <c r="E29" s="193" t="s">
        <v>360</v>
      </c>
      <c r="F29" s="214">
        <v>7</v>
      </c>
      <c r="G29" s="136"/>
      <c r="H29" s="230">
        <v>7.2700000000000005</v>
      </c>
      <c r="I29" s="581"/>
      <c r="J29" s="230"/>
      <c r="K29" s="230"/>
      <c r="L29" s="230">
        <v>7.8099999999999987</v>
      </c>
      <c r="M29" s="115"/>
    </row>
    <row r="30" spans="1:13" outlineLevel="2">
      <c r="A30" s="363"/>
      <c r="B30" s="364"/>
      <c r="C30" s="151" t="str">
        <f t="shared" si="0"/>
        <v>Autres poissons</v>
      </c>
      <c r="D30" s="115"/>
      <c r="E30" s="193" t="s">
        <v>361</v>
      </c>
      <c r="F30" s="214">
        <v>18.5</v>
      </c>
      <c r="G30" s="136"/>
      <c r="H30" s="230">
        <v>18.245000000000001</v>
      </c>
      <c r="I30" s="581"/>
      <c r="J30" s="230"/>
      <c r="K30" s="230"/>
      <c r="L30" s="230">
        <v>17.734999999999999</v>
      </c>
      <c r="M30" s="115"/>
    </row>
    <row r="31" spans="1:13" outlineLevel="2">
      <c r="A31" s="363"/>
      <c r="B31" s="364"/>
      <c r="C31" s="151" t="str">
        <f t="shared" si="0"/>
        <v>Lait</v>
      </c>
      <c r="D31" s="115"/>
      <c r="E31" s="196" t="s">
        <v>362</v>
      </c>
      <c r="F31" s="214">
        <v>79.5</v>
      </c>
      <c r="G31" s="136"/>
      <c r="H31" s="230">
        <v>80.484999999999999</v>
      </c>
      <c r="I31" s="581"/>
      <c r="J31" s="230"/>
      <c r="K31" s="230"/>
      <c r="L31" s="230">
        <v>82.454999999999998</v>
      </c>
      <c r="M31" s="115"/>
    </row>
    <row r="32" spans="1:13" outlineLevel="2">
      <c r="A32" s="363"/>
      <c r="B32" s="364"/>
      <c r="C32" s="151" t="str">
        <f t="shared" si="0"/>
        <v>Fromage</v>
      </c>
      <c r="D32" s="115"/>
      <c r="E32" s="193" t="s">
        <v>363</v>
      </c>
      <c r="F32" s="214">
        <v>42.5</v>
      </c>
      <c r="G32" s="136"/>
      <c r="H32" s="230">
        <v>42.164999999999999</v>
      </c>
      <c r="I32" s="581"/>
      <c r="J32" s="230"/>
      <c r="K32" s="230"/>
      <c r="L32" s="230">
        <v>41.494999999999997</v>
      </c>
      <c r="M32" s="115"/>
    </row>
    <row r="33" spans="1:13" outlineLevel="2">
      <c r="A33" s="363"/>
      <c r="B33" s="364"/>
      <c r="C33" s="151" t="str">
        <f t="shared" si="0"/>
        <v>Œufs</v>
      </c>
      <c r="D33" s="115"/>
      <c r="E33" s="193" t="s">
        <v>364</v>
      </c>
      <c r="F33" s="214">
        <v>14</v>
      </c>
      <c r="G33" s="136"/>
      <c r="H33" s="230">
        <v>14.264999999999999</v>
      </c>
      <c r="I33" s="581"/>
      <c r="J33" s="230"/>
      <c r="K33" s="230"/>
      <c r="L33" s="230">
        <v>14.794999999999998</v>
      </c>
      <c r="M33" s="115"/>
    </row>
    <row r="34" spans="1:13" outlineLevel="2">
      <c r="A34" s="363"/>
      <c r="B34" s="364"/>
      <c r="C34" s="151" t="str">
        <f t="shared" si="0"/>
        <v>Sodas</v>
      </c>
      <c r="D34" s="115"/>
      <c r="E34" s="193" t="s">
        <v>365</v>
      </c>
      <c r="F34" s="214">
        <v>140.5</v>
      </c>
      <c r="G34" s="136"/>
      <c r="H34" s="230">
        <v>136.285</v>
      </c>
      <c r="I34" s="581"/>
      <c r="J34" s="230"/>
      <c r="K34" s="230"/>
      <c r="L34" s="230">
        <v>127.85499999999999</v>
      </c>
      <c r="M34" s="115"/>
    </row>
    <row r="35" spans="1:13" ht="15" outlineLevel="2" thickBot="1">
      <c r="A35" s="363"/>
      <c r="B35" s="364"/>
      <c r="C35" s="151" t="str">
        <f t="shared" si="0"/>
        <v>Jus de fruits</v>
      </c>
      <c r="D35" s="115"/>
      <c r="E35" s="193" t="s">
        <v>366</v>
      </c>
      <c r="F35" s="214">
        <v>73.5</v>
      </c>
      <c r="G35" s="198"/>
      <c r="H35" s="580">
        <v>73.58</v>
      </c>
      <c r="I35" s="582"/>
      <c r="J35" s="580"/>
      <c r="K35" s="580"/>
      <c r="L35" s="580">
        <v>73.739999999999995</v>
      </c>
      <c r="M35" s="115"/>
    </row>
    <row r="36" spans="1:13" ht="28.2" customHeight="1" outlineLevel="2">
      <c r="A36" s="363"/>
      <c r="B36" s="364"/>
      <c r="C36" s="151" t="str">
        <f t="shared" si="0"/>
        <v/>
      </c>
      <c r="D36" s="115"/>
      <c r="E36" s="637"/>
      <c r="F36" s="637"/>
      <c r="G36" s="637"/>
      <c r="H36" s="637"/>
      <c r="I36" s="637"/>
      <c r="J36" s="637"/>
      <c r="K36" s="637"/>
      <c r="L36" s="637"/>
      <c r="M36" s="115"/>
    </row>
    <row r="37" spans="1:13" outlineLevel="1">
      <c r="A37" s="363"/>
      <c r="B37" s="364"/>
      <c r="C37" s="151" t="str">
        <f>IF(ISBLANK(E37),IF(ISBLANK(F37),"",F37),E37)</f>
        <v/>
      </c>
      <c r="D37" s="115"/>
      <c r="E37" s="115"/>
      <c r="F37" s="115"/>
      <c r="G37" s="115"/>
      <c r="H37" s="115"/>
      <c r="I37" s="115"/>
      <c r="J37" s="115"/>
      <c r="K37" s="115"/>
      <c r="L37" s="115"/>
      <c r="M37" s="115"/>
    </row>
    <row r="38" spans="1:13" ht="15" outlineLevel="1" thickBot="1">
      <c r="A38" s="363"/>
      <c r="B38" s="364"/>
      <c r="C38" s="151"/>
      <c r="D38" s="115"/>
      <c r="E38" s="615" t="s">
        <v>367</v>
      </c>
      <c r="F38" s="615"/>
      <c r="G38" s="615"/>
      <c r="H38" s="615"/>
      <c r="I38" s="615"/>
      <c r="J38" s="615"/>
      <c r="K38" s="615"/>
      <c r="L38" s="615"/>
      <c r="M38" s="115"/>
    </row>
    <row r="39" spans="1:13" outlineLevel="2">
      <c r="A39" s="363"/>
      <c r="B39" s="364"/>
      <c r="C39" s="151" t="str">
        <f t="shared" ref="C39:C57" si="1">IF(ISBLANK(E39),IF(ISBLANK(F39),"",F39),E39)</f>
        <v>gramme/personne/jour</v>
      </c>
      <c r="D39" s="115"/>
      <c r="E39" s="200" t="s">
        <v>349</v>
      </c>
      <c r="F39" s="201" t="s">
        <v>677</v>
      </c>
      <c r="G39" s="201" t="s">
        <v>314</v>
      </c>
      <c r="H39" s="201" t="s">
        <v>125</v>
      </c>
      <c r="I39" s="201" t="s">
        <v>315</v>
      </c>
      <c r="J39" s="201" t="s">
        <v>316</v>
      </c>
      <c r="K39" s="201" t="s">
        <v>317</v>
      </c>
      <c r="L39" s="202" t="s">
        <v>133</v>
      </c>
      <c r="M39" s="115"/>
    </row>
    <row r="40" spans="1:13" outlineLevel="2">
      <c r="A40" s="363"/>
      <c r="B40" s="364"/>
      <c r="C40" s="151" t="str">
        <f t="shared" si="1"/>
        <v>Légumes</v>
      </c>
      <c r="D40" s="115"/>
      <c r="E40" s="193" t="s">
        <v>350</v>
      </c>
      <c r="F40" s="214">
        <v>231</v>
      </c>
      <c r="G40" s="133"/>
      <c r="H40" s="133"/>
      <c r="I40" s="133"/>
      <c r="J40" s="133"/>
      <c r="K40" s="133"/>
      <c r="L40" s="194"/>
      <c r="M40" s="115"/>
    </row>
    <row r="41" spans="1:13" outlineLevel="2">
      <c r="A41" s="363"/>
      <c r="B41" s="364"/>
      <c r="C41" s="151" t="str">
        <f t="shared" si="1"/>
        <v>Fruits frais</v>
      </c>
      <c r="D41" s="115"/>
      <c r="E41" s="193" t="s">
        <v>351</v>
      </c>
      <c r="F41" s="214">
        <v>159</v>
      </c>
      <c r="G41" s="133"/>
      <c r="H41" s="133"/>
      <c r="I41" s="133"/>
      <c r="J41" s="133"/>
      <c r="K41" s="133"/>
      <c r="L41" s="194"/>
      <c r="M41" s="115"/>
    </row>
    <row r="42" spans="1:13" outlineLevel="2">
      <c r="A42" s="363"/>
      <c r="B42" s="364"/>
      <c r="C42" s="151" t="str">
        <f t="shared" si="1"/>
        <v>Noix, graines</v>
      </c>
      <c r="D42" s="115"/>
      <c r="E42" s="193" t="s">
        <v>352</v>
      </c>
      <c r="F42" s="214">
        <v>15</v>
      </c>
      <c r="G42" s="133"/>
      <c r="H42" s="133"/>
      <c r="I42" s="133"/>
      <c r="J42" s="133"/>
      <c r="K42" s="133"/>
      <c r="L42" s="194"/>
      <c r="M42" s="115"/>
    </row>
    <row r="43" spans="1:13" outlineLevel="2">
      <c r="A43" s="363"/>
      <c r="B43" s="364"/>
      <c r="C43" s="151" t="str">
        <f t="shared" si="1"/>
        <v>Pain et farine raffinés</v>
      </c>
      <c r="D43" s="115"/>
      <c r="E43" s="193" t="s">
        <v>353</v>
      </c>
      <c r="F43" s="214">
        <v>19</v>
      </c>
      <c r="G43" s="133"/>
      <c r="H43" s="133"/>
      <c r="I43" s="133"/>
      <c r="J43" s="133"/>
      <c r="K43" s="133"/>
      <c r="L43" s="194"/>
      <c r="M43" s="115"/>
    </row>
    <row r="44" spans="1:13" ht="28.8" outlineLevel="2">
      <c r="A44" s="363"/>
      <c r="B44" s="364"/>
      <c r="C44" s="151" t="str">
        <f t="shared" si="1"/>
        <v>Pain et farine complets ou semi-complets</v>
      </c>
      <c r="D44" s="115"/>
      <c r="E44" s="589" t="s">
        <v>354</v>
      </c>
      <c r="F44" s="214">
        <v>109</v>
      </c>
      <c r="G44" s="133"/>
      <c r="H44" s="133"/>
      <c r="I44" s="133"/>
      <c r="J44" s="133"/>
      <c r="K44" s="133"/>
      <c r="L44" s="194"/>
      <c r="M44" s="115"/>
    </row>
    <row r="45" spans="1:13" outlineLevel="2">
      <c r="A45" s="363"/>
      <c r="B45" s="364"/>
      <c r="C45" s="151" t="str">
        <f t="shared" si="1"/>
        <v>Légumineuses</v>
      </c>
      <c r="D45" s="115"/>
      <c r="E45" s="196" t="s">
        <v>355</v>
      </c>
      <c r="F45" s="214">
        <v>97</v>
      </c>
      <c r="G45" s="133"/>
      <c r="H45" s="133"/>
      <c r="I45" s="133"/>
      <c r="J45" s="133"/>
      <c r="K45" s="133"/>
      <c r="L45" s="194"/>
      <c r="M45" s="115"/>
    </row>
    <row r="46" spans="1:13" outlineLevel="2">
      <c r="A46" s="363"/>
      <c r="B46" s="364"/>
      <c r="C46" s="151" t="str">
        <f t="shared" si="1"/>
        <v>Volaille</v>
      </c>
      <c r="D46" s="115"/>
      <c r="E46" s="193" t="s">
        <v>356</v>
      </c>
      <c r="F46" s="214">
        <v>31</v>
      </c>
      <c r="G46" s="133"/>
      <c r="H46" s="133"/>
      <c r="I46" s="133"/>
      <c r="J46" s="133"/>
      <c r="K46" s="133"/>
      <c r="L46" s="194"/>
      <c r="M46" s="115"/>
    </row>
    <row r="47" spans="1:13" outlineLevel="2">
      <c r="A47" s="363"/>
      <c r="B47" s="364"/>
      <c r="C47" s="151" t="str">
        <f t="shared" si="1"/>
        <v>Viande bovine</v>
      </c>
      <c r="D47" s="115"/>
      <c r="E47" s="193" t="s">
        <v>357</v>
      </c>
      <c r="F47" s="214">
        <v>5</v>
      </c>
      <c r="G47" s="136"/>
      <c r="H47" s="136"/>
      <c r="I47" s="136"/>
      <c r="J47" s="136"/>
      <c r="K47" s="136"/>
      <c r="L47" s="195"/>
      <c r="M47" s="115"/>
    </row>
    <row r="48" spans="1:13" outlineLevel="2">
      <c r="A48" s="363"/>
      <c r="B48" s="364"/>
      <c r="C48" s="151" t="str">
        <f t="shared" si="1"/>
        <v>Viande de porc</v>
      </c>
      <c r="D48" s="115"/>
      <c r="E48" s="193" t="s">
        <v>358</v>
      </c>
      <c r="F48" s="214">
        <v>0</v>
      </c>
      <c r="G48" s="136"/>
      <c r="H48" s="136"/>
      <c r="I48" s="136"/>
      <c r="J48" s="136"/>
      <c r="K48" s="136"/>
      <c r="L48" s="195"/>
      <c r="M48" s="115"/>
    </row>
    <row r="49" spans="1:13" outlineLevel="2">
      <c r="A49" s="363"/>
      <c r="B49" s="364"/>
      <c r="C49" s="151" t="str">
        <f t="shared" si="1"/>
        <v>Viande transformée</v>
      </c>
      <c r="D49" s="115"/>
      <c r="E49" s="193" t="s">
        <v>359</v>
      </c>
      <c r="F49" s="214">
        <v>4</v>
      </c>
      <c r="G49" s="136"/>
      <c r="H49" s="136"/>
      <c r="I49" s="136"/>
      <c r="J49" s="136"/>
      <c r="K49" s="136"/>
      <c r="L49" s="195"/>
      <c r="M49" s="115"/>
    </row>
    <row r="50" spans="1:13" outlineLevel="2">
      <c r="A50" s="363"/>
      <c r="B50" s="364"/>
      <c r="C50" s="151" t="str">
        <f t="shared" si="1"/>
        <v>Poissons gras</v>
      </c>
      <c r="D50" s="115"/>
      <c r="E50" s="193" t="s">
        <v>360</v>
      </c>
      <c r="F50" s="214">
        <v>16</v>
      </c>
      <c r="G50" s="136"/>
      <c r="H50" s="136"/>
      <c r="I50" s="136"/>
      <c r="J50" s="136"/>
      <c r="K50" s="136"/>
      <c r="L50" s="195"/>
      <c r="M50" s="115"/>
    </row>
    <row r="51" spans="1:13" outlineLevel="2">
      <c r="A51" s="363"/>
      <c r="B51" s="364"/>
      <c r="C51" s="151" t="str">
        <f t="shared" si="1"/>
        <v>Autres poissons</v>
      </c>
      <c r="D51" s="115"/>
      <c r="E51" s="193" t="s">
        <v>361</v>
      </c>
      <c r="F51" s="214">
        <v>10</v>
      </c>
      <c r="G51" s="136"/>
      <c r="H51" s="136"/>
      <c r="I51" s="136"/>
      <c r="J51" s="136"/>
      <c r="K51" s="136"/>
      <c r="L51" s="195"/>
      <c r="M51" s="115"/>
    </row>
    <row r="52" spans="1:13" outlineLevel="2">
      <c r="A52" s="363"/>
      <c r="B52" s="364"/>
      <c r="C52" s="151" t="str">
        <f t="shared" si="1"/>
        <v>Lait</v>
      </c>
      <c r="D52" s="115"/>
      <c r="E52" s="196" t="s">
        <v>362</v>
      </c>
      <c r="F52" s="214">
        <v>105</v>
      </c>
      <c r="G52" s="136"/>
      <c r="H52" s="136"/>
      <c r="I52" s="136"/>
      <c r="J52" s="136"/>
      <c r="K52" s="136"/>
      <c r="L52" s="195"/>
      <c r="M52" s="115"/>
    </row>
    <row r="53" spans="1:13" outlineLevel="2">
      <c r="A53" s="363"/>
      <c r="B53" s="364"/>
      <c r="C53" s="151" t="str">
        <f t="shared" si="1"/>
        <v>Fromage</v>
      </c>
      <c r="D53" s="115"/>
      <c r="E53" s="193" t="s">
        <v>363</v>
      </c>
      <c r="F53" s="214">
        <v>32</v>
      </c>
      <c r="G53" s="136"/>
      <c r="H53" s="136"/>
      <c r="I53" s="136"/>
      <c r="J53" s="136"/>
      <c r="K53" s="136"/>
      <c r="L53" s="195"/>
      <c r="M53" s="115"/>
    </row>
    <row r="54" spans="1:13" outlineLevel="2">
      <c r="A54" s="363"/>
      <c r="B54" s="364"/>
      <c r="C54" s="151" t="str">
        <f t="shared" si="1"/>
        <v>Œufs</v>
      </c>
      <c r="D54" s="115"/>
      <c r="E54" s="193" t="s">
        <v>364</v>
      </c>
      <c r="F54" s="214">
        <v>19</v>
      </c>
      <c r="G54" s="136"/>
      <c r="H54" s="136"/>
      <c r="I54" s="136"/>
      <c r="J54" s="136"/>
      <c r="K54" s="136"/>
      <c r="L54" s="195"/>
      <c r="M54" s="115"/>
    </row>
    <row r="55" spans="1:13" outlineLevel="2">
      <c r="A55" s="363"/>
      <c r="B55" s="364"/>
      <c r="C55" s="151" t="str">
        <f t="shared" si="1"/>
        <v>Sodas</v>
      </c>
      <c r="D55" s="115"/>
      <c r="E55" s="193" t="s">
        <v>365</v>
      </c>
      <c r="F55" s="214">
        <v>0</v>
      </c>
      <c r="G55" s="136"/>
      <c r="H55" s="136"/>
      <c r="I55" s="136"/>
      <c r="J55" s="136"/>
      <c r="K55" s="136"/>
      <c r="L55" s="195"/>
      <c r="M55" s="115"/>
    </row>
    <row r="56" spans="1:13" ht="15" outlineLevel="2" thickBot="1">
      <c r="A56" s="363"/>
      <c r="B56" s="364"/>
      <c r="C56" s="151" t="str">
        <f t="shared" si="1"/>
        <v>Jus de fruits</v>
      </c>
      <c r="D56" s="115"/>
      <c r="E56" s="193" t="s">
        <v>366</v>
      </c>
      <c r="F56" s="214">
        <v>107</v>
      </c>
      <c r="G56" s="198"/>
      <c r="H56" s="198"/>
      <c r="I56" s="198"/>
      <c r="J56" s="198"/>
      <c r="K56" s="198"/>
      <c r="L56" s="199"/>
      <c r="M56" s="115"/>
    </row>
    <row r="57" spans="1:13" outlineLevel="2">
      <c r="A57" s="363"/>
      <c r="B57" s="364"/>
      <c r="C57" s="151" t="str">
        <f t="shared" si="1"/>
        <v>Le détail de ce régime est considéré comme fixe avec les années, c'est la proportion de français suivant ce régime qui évolue avec le temps.</v>
      </c>
      <c r="D57" s="115"/>
      <c r="E57" s="616" t="s">
        <v>368</v>
      </c>
      <c r="F57" s="616"/>
      <c r="G57" s="616"/>
      <c r="H57" s="616"/>
      <c r="I57" s="616"/>
      <c r="J57" s="616"/>
      <c r="K57" s="616"/>
      <c r="L57" s="616"/>
      <c r="M57" s="115"/>
    </row>
    <row r="58" spans="1:13" outlineLevel="1">
      <c r="A58" s="363"/>
      <c r="B58" s="364"/>
      <c r="C58" s="151"/>
      <c r="D58" s="115"/>
      <c r="E58" s="115"/>
      <c r="F58" s="115"/>
      <c r="G58" s="115"/>
      <c r="H58" s="115"/>
      <c r="I58" s="115"/>
      <c r="J58" s="115"/>
      <c r="K58" s="115"/>
      <c r="L58" s="115"/>
      <c r="M58" s="115"/>
    </row>
    <row r="59" spans="1:13" ht="15" outlineLevel="1" thickBot="1">
      <c r="A59" s="363"/>
      <c r="B59" s="364"/>
      <c r="C59" s="151"/>
      <c r="D59" s="115"/>
      <c r="E59" s="615" t="s">
        <v>369</v>
      </c>
      <c r="F59" s="615"/>
      <c r="G59" s="615"/>
      <c r="H59" s="615"/>
      <c r="I59" s="615"/>
      <c r="J59" s="615"/>
      <c r="K59" s="615"/>
      <c r="L59" s="615"/>
      <c r="M59" s="115"/>
    </row>
    <row r="60" spans="1:13" outlineLevel="2">
      <c r="A60" s="363"/>
      <c r="B60" s="364"/>
      <c r="C60" s="151" t="str">
        <f t="shared" ref="C60:C78" si="2">IF(ISBLANK(E60),IF(ISBLANK(F60),"",F60),E60)</f>
        <v>gramme/personne/jour</v>
      </c>
      <c r="D60" s="115"/>
      <c r="E60" s="200" t="s">
        <v>349</v>
      </c>
      <c r="F60" s="201" t="s">
        <v>677</v>
      </c>
      <c r="G60" s="201" t="s">
        <v>314</v>
      </c>
      <c r="H60" s="201" t="s">
        <v>125</v>
      </c>
      <c r="I60" s="201" t="s">
        <v>315</v>
      </c>
      <c r="J60" s="201" t="s">
        <v>316</v>
      </c>
      <c r="K60" s="201" t="s">
        <v>317</v>
      </c>
      <c r="L60" s="202" t="s">
        <v>133</v>
      </c>
      <c r="M60" s="115"/>
    </row>
    <row r="61" spans="1:13" outlineLevel="2">
      <c r="A61" s="363"/>
      <c r="B61" s="364"/>
      <c r="C61" s="151" t="str">
        <f t="shared" si="2"/>
        <v>Légumes</v>
      </c>
      <c r="D61" s="115"/>
      <c r="E61" s="193" t="s">
        <v>350</v>
      </c>
      <c r="F61" s="214">
        <v>393.5</v>
      </c>
      <c r="G61" s="133"/>
      <c r="H61" s="133"/>
      <c r="I61" s="133"/>
      <c r="J61" s="133"/>
      <c r="K61" s="133"/>
      <c r="L61" s="194"/>
      <c r="M61" s="115"/>
    </row>
    <row r="62" spans="1:13" outlineLevel="2">
      <c r="A62" s="363"/>
      <c r="B62" s="364"/>
      <c r="C62" s="151" t="str">
        <f t="shared" si="2"/>
        <v>Fruits frais</v>
      </c>
      <c r="D62" s="115"/>
      <c r="E62" s="193" t="s">
        <v>351</v>
      </c>
      <c r="F62" s="214">
        <v>391.5</v>
      </c>
      <c r="G62" s="133"/>
      <c r="H62" s="133"/>
      <c r="I62" s="133"/>
      <c r="J62" s="133"/>
      <c r="K62" s="133"/>
      <c r="L62" s="194"/>
      <c r="M62" s="115"/>
    </row>
    <row r="63" spans="1:13" outlineLevel="2">
      <c r="A63" s="363"/>
      <c r="B63" s="364"/>
      <c r="C63" s="151" t="str">
        <f t="shared" si="2"/>
        <v>Noix, graines</v>
      </c>
      <c r="D63" s="115"/>
      <c r="E63" s="193" t="s">
        <v>352</v>
      </c>
      <c r="F63" s="214">
        <v>15</v>
      </c>
      <c r="G63" s="133"/>
      <c r="H63" s="133"/>
      <c r="I63" s="133"/>
      <c r="J63" s="133"/>
      <c r="K63" s="133"/>
      <c r="L63" s="194"/>
      <c r="M63" s="115"/>
    </row>
    <row r="64" spans="1:13" outlineLevel="2">
      <c r="A64" s="363"/>
      <c r="B64" s="364"/>
      <c r="C64" s="151" t="str">
        <f t="shared" si="2"/>
        <v>Pain et farine raffinés</v>
      </c>
      <c r="D64" s="115"/>
      <c r="E64" s="193" t="s">
        <v>353</v>
      </c>
      <c r="F64" s="214">
        <v>18.5</v>
      </c>
      <c r="G64" s="133"/>
      <c r="H64" s="133"/>
      <c r="I64" s="133"/>
      <c r="J64" s="133"/>
      <c r="K64" s="133"/>
      <c r="L64" s="194"/>
      <c r="M64" s="115"/>
    </row>
    <row r="65" spans="1:13" ht="28.8" outlineLevel="2">
      <c r="A65" s="363"/>
      <c r="B65" s="364"/>
      <c r="C65" s="151" t="str">
        <f t="shared" si="2"/>
        <v>Pain et farine complets ou semi-complets</v>
      </c>
      <c r="D65" s="115"/>
      <c r="E65" s="589" t="s">
        <v>354</v>
      </c>
      <c r="F65" s="214">
        <v>121.5</v>
      </c>
      <c r="G65" s="133"/>
      <c r="H65" s="133"/>
      <c r="I65" s="133"/>
      <c r="J65" s="133"/>
      <c r="K65" s="133"/>
      <c r="L65" s="194"/>
      <c r="M65" s="115"/>
    </row>
    <row r="66" spans="1:13" outlineLevel="2">
      <c r="A66" s="363"/>
      <c r="B66" s="364"/>
      <c r="C66" s="151" t="str">
        <f t="shared" si="2"/>
        <v>Légumineuses</v>
      </c>
      <c r="D66" s="115"/>
      <c r="E66" s="196" t="s">
        <v>355</v>
      </c>
      <c r="F66" s="214">
        <v>97</v>
      </c>
      <c r="G66" s="133"/>
      <c r="H66" s="133"/>
      <c r="I66" s="133"/>
      <c r="J66" s="133"/>
      <c r="K66" s="133"/>
      <c r="L66" s="194"/>
      <c r="M66" s="115"/>
    </row>
    <row r="67" spans="1:13" outlineLevel="2">
      <c r="A67" s="363"/>
      <c r="B67" s="364"/>
      <c r="C67" s="151" t="str">
        <f t="shared" si="2"/>
        <v>Volaille</v>
      </c>
      <c r="D67" s="115"/>
      <c r="E67" s="193" t="s">
        <v>356</v>
      </c>
      <c r="F67" s="214">
        <v>0</v>
      </c>
      <c r="G67" s="133"/>
      <c r="H67" s="133"/>
      <c r="I67" s="133"/>
      <c r="J67" s="133"/>
      <c r="K67" s="133"/>
      <c r="L67" s="194"/>
      <c r="M67" s="115"/>
    </row>
    <row r="68" spans="1:13" outlineLevel="2">
      <c r="A68" s="363"/>
      <c r="B68" s="364"/>
      <c r="C68" s="151" t="str">
        <f t="shared" si="2"/>
        <v>Viande bovine</v>
      </c>
      <c r="D68" s="115"/>
      <c r="E68" s="193" t="s">
        <v>357</v>
      </c>
      <c r="F68" s="214">
        <v>0</v>
      </c>
      <c r="G68" s="136"/>
      <c r="H68" s="136"/>
      <c r="I68" s="136"/>
      <c r="J68" s="136"/>
      <c r="K68" s="136"/>
      <c r="L68" s="195"/>
      <c r="M68" s="115"/>
    </row>
    <row r="69" spans="1:13" outlineLevel="2">
      <c r="A69" s="363"/>
      <c r="B69" s="364"/>
      <c r="C69" s="151" t="str">
        <f t="shared" si="2"/>
        <v>Viande de porc</v>
      </c>
      <c r="D69" s="115"/>
      <c r="E69" s="193" t="s">
        <v>358</v>
      </c>
      <c r="F69" s="214">
        <v>0</v>
      </c>
      <c r="G69" s="136"/>
      <c r="H69" s="136"/>
      <c r="I69" s="136"/>
      <c r="J69" s="136"/>
      <c r="K69" s="136"/>
      <c r="L69" s="195"/>
      <c r="M69" s="115"/>
    </row>
    <row r="70" spans="1:13" outlineLevel="2">
      <c r="A70" s="363"/>
      <c r="B70" s="364"/>
      <c r="C70" s="151" t="str">
        <f t="shared" si="2"/>
        <v>Viande transformée</v>
      </c>
      <c r="D70" s="115"/>
      <c r="E70" s="193" t="s">
        <v>359</v>
      </c>
      <c r="F70" s="214">
        <v>0</v>
      </c>
      <c r="G70" s="136"/>
      <c r="H70" s="136"/>
      <c r="I70" s="136"/>
      <c r="J70" s="136"/>
      <c r="K70" s="136"/>
      <c r="L70" s="195"/>
      <c r="M70" s="115"/>
    </row>
    <row r="71" spans="1:13" outlineLevel="2">
      <c r="A71" s="363"/>
      <c r="B71" s="364"/>
      <c r="C71" s="151" t="str">
        <f t="shared" si="2"/>
        <v>Poissons gras</v>
      </c>
      <c r="D71" s="115"/>
      <c r="E71" s="193" t="s">
        <v>360</v>
      </c>
      <c r="F71" s="214">
        <v>16</v>
      </c>
      <c r="G71" s="136"/>
      <c r="H71" s="136"/>
      <c r="I71" s="136"/>
      <c r="J71" s="136"/>
      <c r="K71" s="136"/>
      <c r="L71" s="195"/>
      <c r="M71" s="115"/>
    </row>
    <row r="72" spans="1:13" outlineLevel="2">
      <c r="A72" s="363"/>
      <c r="B72" s="364"/>
      <c r="C72" s="151" t="str">
        <f t="shared" si="2"/>
        <v>Autres poissons</v>
      </c>
      <c r="D72" s="115"/>
      <c r="E72" s="193" t="s">
        <v>361</v>
      </c>
      <c r="F72" s="214">
        <v>10</v>
      </c>
      <c r="G72" s="136"/>
      <c r="H72" s="136"/>
      <c r="I72" s="136"/>
      <c r="J72" s="136"/>
      <c r="K72" s="136"/>
      <c r="L72" s="195"/>
      <c r="M72" s="115"/>
    </row>
    <row r="73" spans="1:13" outlineLevel="2">
      <c r="A73" s="363"/>
      <c r="B73" s="364"/>
      <c r="C73" s="151" t="str">
        <f t="shared" si="2"/>
        <v>Lait</v>
      </c>
      <c r="D73" s="115"/>
      <c r="E73" s="196" t="s">
        <v>362</v>
      </c>
      <c r="F73" s="214">
        <v>128</v>
      </c>
      <c r="G73" s="136"/>
      <c r="H73" s="136"/>
      <c r="I73" s="136"/>
      <c r="J73" s="136"/>
      <c r="K73" s="136"/>
      <c r="L73" s="195"/>
      <c r="M73" s="115"/>
    </row>
    <row r="74" spans="1:13" outlineLevel="2">
      <c r="A74" s="363"/>
      <c r="B74" s="364"/>
      <c r="C74" s="151" t="str">
        <f t="shared" si="2"/>
        <v>Fromage</v>
      </c>
      <c r="D74" s="115"/>
      <c r="E74" s="193" t="s">
        <v>363</v>
      </c>
      <c r="F74" s="214">
        <v>30</v>
      </c>
      <c r="G74" s="136"/>
      <c r="H74" s="136"/>
      <c r="I74" s="136"/>
      <c r="J74" s="136"/>
      <c r="K74" s="136"/>
      <c r="L74" s="195"/>
      <c r="M74" s="115"/>
    </row>
    <row r="75" spans="1:13" outlineLevel="2">
      <c r="A75" s="363"/>
      <c r="B75" s="364"/>
      <c r="C75" s="151" t="str">
        <f t="shared" si="2"/>
        <v>Œufs</v>
      </c>
      <c r="D75" s="115"/>
      <c r="E75" s="193" t="s">
        <v>364</v>
      </c>
      <c r="F75" s="214">
        <v>31.5</v>
      </c>
      <c r="G75" s="136"/>
      <c r="H75" s="136"/>
      <c r="I75" s="136"/>
      <c r="J75" s="136"/>
      <c r="K75" s="136"/>
      <c r="L75" s="195"/>
      <c r="M75" s="115"/>
    </row>
    <row r="76" spans="1:13" outlineLevel="2">
      <c r="A76" s="363"/>
      <c r="B76" s="364"/>
      <c r="C76" s="151" t="str">
        <f t="shared" si="2"/>
        <v>Sodas</v>
      </c>
      <c r="D76" s="115"/>
      <c r="E76" s="193" t="s">
        <v>365</v>
      </c>
      <c r="F76" s="214">
        <v>0</v>
      </c>
      <c r="G76" s="136"/>
      <c r="H76" s="136"/>
      <c r="I76" s="136"/>
      <c r="J76" s="136"/>
      <c r="K76" s="136"/>
      <c r="L76" s="195"/>
      <c r="M76" s="115"/>
    </row>
    <row r="77" spans="1:13" ht="15" outlineLevel="2" thickBot="1">
      <c r="A77" s="363"/>
      <c r="B77" s="364"/>
      <c r="C77" s="151" t="str">
        <f t="shared" si="2"/>
        <v>Jus de fruits</v>
      </c>
      <c r="D77" s="115"/>
      <c r="E77" s="193" t="s">
        <v>366</v>
      </c>
      <c r="F77" s="214">
        <v>105</v>
      </c>
      <c r="G77" s="198"/>
      <c r="H77" s="198"/>
      <c r="I77" s="198"/>
      <c r="J77" s="198"/>
      <c r="K77" s="198"/>
      <c r="L77" s="199"/>
      <c r="M77" s="115"/>
    </row>
    <row r="78" spans="1:13" outlineLevel="2" collapsed="1">
      <c r="A78" s="363"/>
      <c r="B78" s="364"/>
      <c r="C78" s="151" t="str">
        <f t="shared" si="2"/>
        <v>Le détail de ce régime est considéré comme fixe avec les années, c'est la proportion de français suivant ce régime qui évolue avec le temps.</v>
      </c>
      <c r="D78" s="115"/>
      <c r="E78" s="616" t="s">
        <v>368</v>
      </c>
      <c r="F78" s="616"/>
      <c r="G78" s="616"/>
      <c r="H78" s="616"/>
      <c r="I78" s="616"/>
      <c r="J78" s="616"/>
      <c r="K78" s="616"/>
      <c r="L78" s="616"/>
      <c r="M78" s="115"/>
    </row>
    <row r="79" spans="1:13" outlineLevel="1">
      <c r="A79" s="363"/>
      <c r="B79" s="364"/>
      <c r="C79" s="151"/>
      <c r="D79" s="115"/>
      <c r="E79" s="142"/>
      <c r="F79" s="142"/>
      <c r="G79" s="142"/>
      <c r="H79" s="142"/>
      <c r="I79" s="142"/>
      <c r="J79" s="142"/>
      <c r="K79" s="142"/>
      <c r="L79" s="142"/>
      <c r="M79" s="115"/>
    </row>
    <row r="80" spans="1:13" ht="15" outlineLevel="1" collapsed="1" thickBot="1">
      <c r="A80" s="363"/>
      <c r="B80" s="364"/>
      <c r="C80" s="151"/>
      <c r="D80" s="115"/>
      <c r="E80" s="634" t="s">
        <v>370</v>
      </c>
      <c r="F80" s="634"/>
      <c r="G80" s="634"/>
      <c r="H80" s="634"/>
      <c r="I80" s="634"/>
      <c r="J80" s="634"/>
      <c r="K80" s="634"/>
      <c r="L80" s="634"/>
      <c r="M80" s="115"/>
    </row>
    <row r="81" spans="1:13" outlineLevel="2">
      <c r="A81" s="363"/>
      <c r="B81" s="364"/>
      <c r="C81" s="151" t="str">
        <f t="shared" ref="C81:C84" si="3">IF(ISBLANK(E81),IF(ISBLANK(F81),"",F81),E81)</f>
        <v>%</v>
      </c>
      <c r="D81" s="115"/>
      <c r="E81" s="215" t="s">
        <v>121</v>
      </c>
      <c r="F81" s="216">
        <v>2020</v>
      </c>
      <c r="G81" s="216">
        <v>2025</v>
      </c>
      <c r="H81" s="216">
        <v>2030</v>
      </c>
      <c r="I81" s="216">
        <v>2035</v>
      </c>
      <c r="J81" s="216">
        <v>2040</v>
      </c>
      <c r="K81" s="216">
        <v>2045</v>
      </c>
      <c r="L81" s="217">
        <v>2050</v>
      </c>
      <c r="M81" s="115"/>
    </row>
    <row r="82" spans="1:13" outlineLevel="2">
      <c r="A82" s="363"/>
      <c r="B82" s="364"/>
      <c r="C82" s="151" t="str">
        <f t="shared" si="3"/>
        <v>Observé INCA 3</v>
      </c>
      <c r="D82" s="115"/>
      <c r="E82" s="218" t="s">
        <v>371</v>
      </c>
      <c r="F82" s="219">
        <v>1</v>
      </c>
      <c r="G82" s="220"/>
      <c r="H82" s="220">
        <v>0.97</v>
      </c>
      <c r="I82" s="220"/>
      <c r="J82" s="220"/>
      <c r="K82" s="220"/>
      <c r="L82" s="221">
        <v>0.91</v>
      </c>
      <c r="M82" s="115"/>
    </row>
    <row r="83" spans="1:13" outlineLevel="2">
      <c r="A83" s="363"/>
      <c r="B83" s="364"/>
      <c r="C83" s="151" t="str">
        <f t="shared" si="3"/>
        <v>Optimisé flexitarien</v>
      </c>
      <c r="D83" s="115"/>
      <c r="E83" s="218" t="s">
        <v>372</v>
      </c>
      <c r="F83" s="219">
        <v>0</v>
      </c>
      <c r="G83" s="220"/>
      <c r="H83" s="220">
        <v>0.02</v>
      </c>
      <c r="I83" s="220"/>
      <c r="J83" s="220"/>
      <c r="K83" s="220"/>
      <c r="L83" s="221">
        <v>0.06</v>
      </c>
      <c r="M83" s="115"/>
    </row>
    <row r="84" spans="1:13" ht="15" outlineLevel="2" thickBot="1">
      <c r="A84" s="363"/>
      <c r="B84" s="364"/>
      <c r="C84" s="151" t="str">
        <f t="shared" si="3"/>
        <v>Optimisé pescétarien</v>
      </c>
      <c r="D84" s="115"/>
      <c r="E84" s="222" t="s">
        <v>373</v>
      </c>
      <c r="F84" s="223">
        <v>0</v>
      </c>
      <c r="G84" s="224"/>
      <c r="H84" s="224">
        <v>0.01</v>
      </c>
      <c r="I84" s="224"/>
      <c r="J84" s="224"/>
      <c r="K84" s="224"/>
      <c r="L84" s="225">
        <v>0.03</v>
      </c>
      <c r="M84" s="115"/>
    </row>
    <row r="85" spans="1:13" ht="14.4" customHeight="1" outlineLevel="2">
      <c r="A85" s="363"/>
      <c r="B85" s="364"/>
      <c r="C85" s="151"/>
      <c r="D85" s="115"/>
      <c r="E85" s="641"/>
      <c r="F85" s="641"/>
      <c r="G85" s="641"/>
      <c r="H85" s="641"/>
      <c r="I85" s="641"/>
      <c r="J85" s="641"/>
      <c r="K85" s="641"/>
      <c r="L85" s="641"/>
      <c r="M85" s="115"/>
    </row>
    <row r="86" spans="1:13" outlineLevel="2">
      <c r="A86" s="363"/>
      <c r="B86" s="364"/>
      <c r="C86" s="151" t="str">
        <f t="shared" si="0"/>
        <v/>
      </c>
      <c r="D86" s="115"/>
      <c r="E86" s="638"/>
      <c r="F86" s="638"/>
      <c r="G86" s="638"/>
      <c r="H86" s="638"/>
      <c r="I86" s="638"/>
      <c r="J86" s="638"/>
      <c r="K86" s="638"/>
      <c r="L86" s="638"/>
      <c r="M86" s="115"/>
    </row>
    <row r="87" spans="1:13" outlineLevel="1">
      <c r="A87" s="363"/>
      <c r="B87" s="364"/>
      <c r="C87" s="151"/>
      <c r="D87" s="115"/>
      <c r="E87" s="226"/>
      <c r="F87" s="226"/>
      <c r="G87" s="226"/>
      <c r="H87" s="226"/>
      <c r="I87" s="226"/>
      <c r="J87" s="226"/>
      <c r="K87" s="226"/>
      <c r="L87" s="226"/>
      <c r="M87" s="115"/>
    </row>
    <row r="88" spans="1:13" outlineLevel="1">
      <c r="A88" s="363"/>
      <c r="B88" s="364"/>
      <c r="C88" s="151" t="str">
        <f t="shared" ref="C88:C158" si="4">IF(ISBLANK(E88),IF(ISBLANK(F88),"",F88),E88)</f>
        <v/>
      </c>
      <c r="D88" s="629"/>
      <c r="E88" s="629"/>
      <c r="F88" s="629"/>
    </row>
    <row r="89" spans="1:13" ht="28.8" thickBot="1">
      <c r="A89" s="363"/>
      <c r="B89" s="364"/>
      <c r="C89" s="151" t="str">
        <f t="shared" si="4"/>
        <v>Elevage</v>
      </c>
      <c r="D89" s="369"/>
      <c r="E89" s="370"/>
      <c r="F89" s="617" t="s">
        <v>374</v>
      </c>
      <c r="G89" s="617"/>
      <c r="H89" s="617"/>
      <c r="I89" s="617"/>
      <c r="J89" s="617"/>
      <c r="K89" s="617"/>
      <c r="L89" s="617"/>
      <c r="M89" s="617"/>
    </row>
    <row r="90" spans="1:13" ht="13.2" customHeight="1" thickTop="1">
      <c r="A90" s="363"/>
      <c r="B90" s="365"/>
      <c r="C90" s="151" t="str">
        <f t="shared" si="4"/>
        <v/>
      </c>
      <c r="D90" s="208"/>
      <c r="E90" s="208"/>
      <c r="F90" s="208"/>
    </row>
    <row r="91" spans="1:13" ht="14.4" customHeight="1" outlineLevel="1">
      <c r="A91" s="363"/>
      <c r="B91" s="365"/>
      <c r="C91" s="151" t="str">
        <f t="shared" si="4"/>
        <v/>
      </c>
      <c r="D91" s="115"/>
      <c r="E91" s="115"/>
      <c r="F91" s="115"/>
      <c r="G91" s="115"/>
      <c r="H91" s="115"/>
      <c r="I91" s="115"/>
      <c r="J91" s="115"/>
      <c r="K91" s="115"/>
      <c r="L91" s="115"/>
      <c r="M91" s="115"/>
    </row>
    <row r="92" spans="1:13" ht="21.6" customHeight="1" outlineLevel="1">
      <c r="A92" s="363"/>
      <c r="B92" s="365"/>
      <c r="C92" s="151" t="str">
        <f t="shared" si="4"/>
        <v/>
      </c>
      <c r="D92" s="115"/>
      <c r="E92" s="613"/>
      <c r="F92" s="613"/>
      <c r="G92" s="613"/>
      <c r="H92" s="613"/>
      <c r="I92" s="613"/>
      <c r="J92" s="613"/>
      <c r="K92" s="613"/>
      <c r="L92" s="613"/>
      <c r="M92" s="115"/>
    </row>
    <row r="93" spans="1:13" ht="15" customHeight="1" outlineLevel="1">
      <c r="A93" s="363"/>
      <c r="B93" s="365"/>
      <c r="C93" s="151" t="str">
        <f t="shared" si="4"/>
        <v/>
      </c>
      <c r="D93" s="115"/>
      <c r="E93" s="115"/>
      <c r="F93" s="115"/>
      <c r="G93" s="115"/>
      <c r="H93" s="115"/>
      <c r="I93" s="115"/>
      <c r="J93" s="115"/>
      <c r="K93" s="115"/>
      <c r="L93" s="115"/>
      <c r="M93" s="115"/>
    </row>
    <row r="94" spans="1:13" ht="15" customHeight="1" outlineLevel="1" thickBot="1">
      <c r="A94" s="363"/>
      <c r="B94" s="365"/>
      <c r="C94" s="151" t="str">
        <f t="shared" si="4"/>
        <v>Evolution des cheptels (milliers de têtes)</v>
      </c>
      <c r="D94" s="115"/>
      <c r="E94" s="615" t="s">
        <v>375</v>
      </c>
      <c r="F94" s="615"/>
      <c r="G94" s="615"/>
      <c r="H94" s="615"/>
      <c r="I94" s="615"/>
      <c r="J94" s="615"/>
      <c r="K94" s="615"/>
      <c r="L94" s="615"/>
      <c r="M94" s="115"/>
    </row>
    <row r="95" spans="1:13" ht="14.4" customHeight="1" outlineLevel="2">
      <c r="A95" s="363"/>
      <c r="B95" s="365"/>
      <c r="C95" s="151" t="str">
        <f t="shared" si="4"/>
        <v>(milliers de têtes)</v>
      </c>
      <c r="D95" s="115"/>
      <c r="E95" s="227" t="s">
        <v>376</v>
      </c>
      <c r="F95" s="228">
        <v>2021</v>
      </c>
      <c r="G95" s="228">
        <v>2025</v>
      </c>
      <c r="H95" s="228">
        <v>2030</v>
      </c>
      <c r="I95" s="228">
        <v>2035</v>
      </c>
      <c r="J95" s="228">
        <v>2040</v>
      </c>
      <c r="K95" s="228">
        <v>2045</v>
      </c>
      <c r="L95" s="229">
        <v>2050</v>
      </c>
      <c r="M95" s="115"/>
    </row>
    <row r="96" spans="1:13" ht="14.4" customHeight="1" outlineLevel="2">
      <c r="A96" s="363"/>
      <c r="B96" s="365"/>
      <c r="C96" s="151" t="str">
        <f t="shared" si="4"/>
        <v>Vaches laitières</v>
      </c>
      <c r="D96" s="115"/>
      <c r="E96" s="122" t="s">
        <v>377</v>
      </c>
      <c r="F96" s="537">
        <v>3321.2760000000003</v>
      </c>
      <c r="G96" s="538">
        <v>3152.6537325000004</v>
      </c>
      <c r="H96" s="538">
        <v>3026.0516200000002</v>
      </c>
      <c r="I96" s="538">
        <v>2915.5497350000001</v>
      </c>
      <c r="J96" s="538">
        <v>2805.0478499999995</v>
      </c>
      <c r="K96" s="538">
        <v>2694.5459649999998</v>
      </c>
      <c r="L96" s="539">
        <v>2584.0440800000001</v>
      </c>
      <c r="M96" s="115"/>
    </row>
    <row r="97" spans="1:13" ht="14.4" customHeight="1" outlineLevel="2">
      <c r="A97" s="363"/>
      <c r="B97" s="365"/>
      <c r="C97" s="151" t="str">
        <f t="shared" si="4"/>
        <v>Vaches allaitantes</v>
      </c>
      <c r="D97" s="115"/>
      <c r="E97" s="122" t="s">
        <v>378</v>
      </c>
      <c r="F97" s="312">
        <v>3844.482</v>
      </c>
      <c r="G97" s="313">
        <v>3626.8180499999994</v>
      </c>
      <c r="H97" s="313">
        <v>3419.5697999999998</v>
      </c>
      <c r="I97" s="313">
        <v>3213.2164500000003</v>
      </c>
      <c r="J97" s="313">
        <v>3006.8631000000005</v>
      </c>
      <c r="K97" s="313">
        <v>2800.5097500000006</v>
      </c>
      <c r="L97" s="316">
        <v>2594.1563999999998</v>
      </c>
      <c r="M97" s="115"/>
    </row>
    <row r="98" spans="1:13" ht="14.4" customHeight="1" outlineLevel="2">
      <c r="A98" s="363"/>
      <c r="B98" s="365"/>
      <c r="C98" s="151" t="str">
        <f t="shared" si="4"/>
        <v>Autres bovins</v>
      </c>
      <c r="D98" s="115"/>
      <c r="E98" s="122" t="s">
        <v>379</v>
      </c>
      <c r="F98" s="312">
        <v>10058.839</v>
      </c>
      <c r="G98" s="313">
        <v>9601.2384458001434</v>
      </c>
      <c r="H98" s="313">
        <v>9108.6075221337142</v>
      </c>
      <c r="I98" s="313">
        <v>8650.7479792674258</v>
      </c>
      <c r="J98" s="313">
        <v>8192.8884364011392</v>
      </c>
      <c r="K98" s="313">
        <v>7735.0288935348517</v>
      </c>
      <c r="L98" s="316">
        <v>7277.1693506685624</v>
      </c>
      <c r="M98" s="115"/>
    </row>
    <row r="99" spans="1:13" ht="14.4" customHeight="1" outlineLevel="2">
      <c r="A99" s="363"/>
      <c r="B99" s="365"/>
      <c r="C99" s="151" t="str">
        <f t="shared" si="4"/>
        <v>Truies</v>
      </c>
      <c r="D99" s="115"/>
      <c r="E99" s="122" t="s">
        <v>380</v>
      </c>
      <c r="F99" s="312">
        <v>919.57999999999993</v>
      </c>
      <c r="G99" s="313">
        <v>859.97868749999998</v>
      </c>
      <c r="H99" s="313">
        <v>857.19150000000002</v>
      </c>
      <c r="I99" s="313">
        <v>809.56975000000011</v>
      </c>
      <c r="J99" s="313">
        <v>761.94800000000021</v>
      </c>
      <c r="K99" s="313">
        <v>714.32625000000019</v>
      </c>
      <c r="L99" s="316">
        <v>666.70450000000017</v>
      </c>
      <c r="M99" s="115"/>
    </row>
    <row r="100" spans="1:13" ht="14.4" customHeight="1" outlineLevel="2">
      <c r="A100" s="363"/>
      <c r="B100" s="365"/>
      <c r="C100" s="151" t="str">
        <f t="shared" si="4"/>
        <v>Autres porcins</v>
      </c>
      <c r="D100" s="115"/>
      <c r="E100" s="122" t="s">
        <v>381</v>
      </c>
      <c r="F100" s="312">
        <v>11960.661999999995</v>
      </c>
      <c r="G100" s="313">
        <v>11216.326312499998</v>
      </c>
      <c r="H100" s="313">
        <v>11117.803499999996</v>
      </c>
      <c r="I100" s="313">
        <v>10500.147749999996</v>
      </c>
      <c r="J100" s="313">
        <v>9882.4919999999984</v>
      </c>
      <c r="K100" s="313">
        <v>9264.8362499999985</v>
      </c>
      <c r="L100" s="316">
        <v>8647.1804999999968</v>
      </c>
      <c r="M100" s="115"/>
    </row>
    <row r="101" spans="1:13" ht="14.4" customHeight="1" outlineLevel="2">
      <c r="A101" s="363"/>
      <c r="B101" s="365"/>
      <c r="C101" s="151" t="str">
        <f t="shared" si="4"/>
        <v>Caprins</v>
      </c>
      <c r="D101" s="115"/>
      <c r="E101" s="122" t="s">
        <v>382</v>
      </c>
      <c r="F101" s="312">
        <v>1361.2919999999999</v>
      </c>
      <c r="G101" s="313">
        <v>1341.7693750000001</v>
      </c>
      <c r="H101" s="313">
        <v>1373.5349999999999</v>
      </c>
      <c r="I101" s="313">
        <v>1373.5349999999999</v>
      </c>
      <c r="J101" s="313">
        <v>1373.5349999999999</v>
      </c>
      <c r="K101" s="313">
        <v>1373.5349999999999</v>
      </c>
      <c r="L101" s="316">
        <v>1373.5349999999999</v>
      </c>
      <c r="M101" s="115"/>
    </row>
    <row r="102" spans="1:13" ht="14.4" customHeight="1" outlineLevel="2">
      <c r="A102" s="363"/>
      <c r="B102" s="365"/>
      <c r="C102" s="151" t="str">
        <f t="shared" si="4"/>
        <v>Ovins</v>
      </c>
      <c r="D102" s="115"/>
      <c r="E102" s="122" t="s">
        <v>383</v>
      </c>
      <c r="F102" s="312">
        <v>6903.8310000000001</v>
      </c>
      <c r="G102" s="313">
        <v>6635.4547149999989</v>
      </c>
      <c r="H102" s="313">
        <v>6812.4092399999981</v>
      </c>
      <c r="I102" s="313">
        <v>6708.1376699999992</v>
      </c>
      <c r="J102" s="313">
        <v>6603.8660999999993</v>
      </c>
      <c r="K102" s="313">
        <v>6499.5945299999994</v>
      </c>
      <c r="L102" s="316">
        <v>6395.3229599999995</v>
      </c>
      <c r="M102" s="115"/>
    </row>
    <row r="103" spans="1:13" ht="14.4" customHeight="1" outlineLevel="2">
      <c r="A103" s="363"/>
      <c r="B103" s="365"/>
      <c r="C103" s="151" t="str">
        <f t="shared" si="4"/>
        <v>Chevaux</v>
      </c>
      <c r="D103" s="115"/>
      <c r="E103" s="122" t="s">
        <v>384</v>
      </c>
      <c r="F103" s="312">
        <v>290.02199999999999</v>
      </c>
      <c r="G103" s="313">
        <v>288.49600000000004</v>
      </c>
      <c r="H103" s="313">
        <v>289.26600000000008</v>
      </c>
      <c r="I103" s="313">
        <v>289.26600000000008</v>
      </c>
      <c r="J103" s="313">
        <v>289.26600000000008</v>
      </c>
      <c r="K103" s="313">
        <v>289.26600000000008</v>
      </c>
      <c r="L103" s="316">
        <v>289.26600000000008</v>
      </c>
      <c r="M103" s="115"/>
    </row>
    <row r="104" spans="1:13" ht="14.4" customHeight="1" outlineLevel="2">
      <c r="A104" s="363"/>
      <c r="B104" s="365"/>
      <c r="C104" s="151" t="str">
        <f t="shared" si="4"/>
        <v>Mules et ânes</v>
      </c>
      <c r="D104" s="115"/>
      <c r="E104" s="122" t="s">
        <v>385</v>
      </c>
      <c r="F104" s="312">
        <v>20.916</v>
      </c>
      <c r="G104" s="313">
        <v>20.818999999999999</v>
      </c>
      <c r="H104" s="313">
        <v>21.033999999999999</v>
      </c>
      <c r="I104" s="313">
        <v>21.033999999999999</v>
      </c>
      <c r="J104" s="313">
        <v>21.033999999999999</v>
      </c>
      <c r="K104" s="313">
        <v>21.033999999999999</v>
      </c>
      <c r="L104" s="316">
        <v>21.033999999999999</v>
      </c>
      <c r="M104" s="115"/>
    </row>
    <row r="105" spans="1:13" ht="14.4" customHeight="1" outlineLevel="2">
      <c r="A105" s="363"/>
      <c r="B105" s="365"/>
      <c r="C105" s="151" t="str">
        <f t="shared" si="4"/>
        <v>Poules pondeuses</v>
      </c>
      <c r="D105" s="115"/>
      <c r="E105" s="122" t="s">
        <v>386</v>
      </c>
      <c r="F105" s="312">
        <v>85846</v>
      </c>
      <c r="G105" s="313">
        <v>85098</v>
      </c>
      <c r="H105" s="313">
        <v>82968.000000000015</v>
      </c>
      <c r="I105" s="313">
        <v>82968.000000000015</v>
      </c>
      <c r="J105" s="313">
        <v>82968.000000000015</v>
      </c>
      <c r="K105" s="313">
        <v>82968.000000000015</v>
      </c>
      <c r="L105" s="316">
        <v>82968.000000000015</v>
      </c>
      <c r="M105" s="115"/>
    </row>
    <row r="106" spans="1:13" outlineLevel="2">
      <c r="A106" s="363"/>
      <c r="B106" s="365"/>
      <c r="C106" s="151" t="str">
        <f t="shared" si="4"/>
        <v>Poulets de chair</v>
      </c>
      <c r="D106" s="116"/>
      <c r="E106" s="122" t="s">
        <v>387</v>
      </c>
      <c r="F106" s="312">
        <v>148071.99999999997</v>
      </c>
      <c r="G106" s="313">
        <v>144396.12499999997</v>
      </c>
      <c r="H106" s="313">
        <v>151538</v>
      </c>
      <c r="I106" s="313">
        <v>151538</v>
      </c>
      <c r="J106" s="313">
        <v>151538</v>
      </c>
      <c r="K106" s="313">
        <v>151538</v>
      </c>
      <c r="L106" s="316">
        <v>151538</v>
      </c>
      <c r="M106" s="115"/>
    </row>
    <row r="107" spans="1:13" outlineLevel="2">
      <c r="A107" s="363"/>
      <c r="B107" s="365"/>
      <c r="C107" s="151" t="str">
        <f t="shared" si="4"/>
        <v>Autres volailles</v>
      </c>
      <c r="D107" s="117"/>
      <c r="E107" s="122" t="s">
        <v>388</v>
      </c>
      <c r="F107" s="312">
        <v>53868.999999999993</v>
      </c>
      <c r="G107" s="313">
        <v>48686.999999999993</v>
      </c>
      <c r="H107" s="313">
        <v>57481.999999999993</v>
      </c>
      <c r="I107" s="313">
        <v>57481.999999999993</v>
      </c>
      <c r="J107" s="313">
        <v>57481.999999999993</v>
      </c>
      <c r="K107" s="313">
        <v>57481.999999999993</v>
      </c>
      <c r="L107" s="316">
        <v>57481.999999999993</v>
      </c>
      <c r="M107" s="115"/>
    </row>
    <row r="108" spans="1:13" ht="15" outlineLevel="2" thickBot="1">
      <c r="A108" s="363"/>
      <c r="B108" s="365"/>
      <c r="C108" s="151" t="str">
        <f t="shared" si="4"/>
        <v>Lapines reproductrices</v>
      </c>
      <c r="D108" s="117"/>
      <c r="E108" s="122" t="s">
        <v>389</v>
      </c>
      <c r="F108" s="312">
        <v>405.99999999999994</v>
      </c>
      <c r="G108" s="313">
        <v>396.12499999999994</v>
      </c>
      <c r="H108" s="313">
        <v>417.99999999999994</v>
      </c>
      <c r="I108" s="313">
        <v>417.99999999999994</v>
      </c>
      <c r="J108" s="313">
        <v>417.99999999999994</v>
      </c>
      <c r="K108" s="313">
        <v>417.99999999999994</v>
      </c>
      <c r="L108" s="316">
        <v>417.99999999999994</v>
      </c>
      <c r="M108" s="115"/>
    </row>
    <row r="109" spans="1:13" outlineLevel="2">
      <c r="A109" s="363"/>
      <c r="B109" s="365"/>
      <c r="C109" s="151" t="str">
        <f t="shared" si="4"/>
        <v>Données historiques de la Statistique Agricole Annuelle 2022, données projetées modélisées par MOSUT. Périmètre hexagone</v>
      </c>
      <c r="D109" s="115"/>
      <c r="E109" s="616" t="s">
        <v>980</v>
      </c>
      <c r="F109" s="616"/>
      <c r="G109" s="616"/>
      <c r="H109" s="616"/>
      <c r="I109" s="616"/>
      <c r="J109" s="616"/>
      <c r="K109" s="616"/>
      <c r="L109" s="616"/>
      <c r="M109" s="115"/>
    </row>
    <row r="110" spans="1:13" outlineLevel="1">
      <c r="A110" s="363"/>
      <c r="B110" s="365"/>
      <c r="C110" s="151" t="str">
        <f t="shared" si="4"/>
        <v/>
      </c>
      <c r="D110" s="115"/>
      <c r="E110" s="115"/>
      <c r="F110" s="115"/>
      <c r="G110" s="115"/>
      <c r="H110" s="115"/>
      <c r="I110" s="115"/>
      <c r="J110" s="115"/>
      <c r="K110" s="115"/>
      <c r="L110" s="115"/>
      <c r="M110" s="115"/>
    </row>
    <row r="111" spans="1:13" ht="15" outlineLevel="1" thickBot="1">
      <c r="A111" s="363"/>
      <c r="B111" s="365"/>
      <c r="C111" s="151" t="str">
        <f t="shared" si="4"/>
        <v>Part des vaches laitières dont la matière azotée totale de la ration hivernale est supérieure à 14% (entre 15% et 18%)</v>
      </c>
      <c r="D111" s="115"/>
      <c r="E111" s="615" t="s">
        <v>390</v>
      </c>
      <c r="F111" s="615"/>
      <c r="G111" s="615"/>
      <c r="H111" s="615"/>
      <c r="I111" s="615"/>
      <c r="J111" s="615"/>
      <c r="K111" s="615"/>
      <c r="L111" s="615"/>
      <c r="M111" s="115"/>
    </row>
    <row r="112" spans="1:13" outlineLevel="2">
      <c r="A112" s="363"/>
      <c r="B112" s="365"/>
      <c r="C112" s="151" t="str">
        <f t="shared" si="4"/>
        <v>Part (%)</v>
      </c>
      <c r="D112" s="115"/>
      <c r="E112" s="227" t="s">
        <v>391</v>
      </c>
      <c r="F112" s="228">
        <v>2021</v>
      </c>
      <c r="G112" s="228">
        <v>2025</v>
      </c>
      <c r="H112" s="228">
        <v>2030</v>
      </c>
      <c r="I112" s="228">
        <v>2035</v>
      </c>
      <c r="J112" s="228">
        <v>2040</v>
      </c>
      <c r="K112" s="228">
        <v>2045</v>
      </c>
      <c r="L112" s="229">
        <v>2050</v>
      </c>
      <c r="M112" s="115"/>
    </row>
    <row r="113" spans="1:13" ht="15" outlineLevel="2" thickBot="1">
      <c r="A113" s="363"/>
      <c r="B113" s="365"/>
      <c r="C113" s="151">
        <f t="shared" si="4"/>
        <v>0.48958333333333331</v>
      </c>
      <c r="D113" s="115"/>
      <c r="E113" s="233"/>
      <c r="F113" s="234">
        <v>0.48958333333333331</v>
      </c>
      <c r="G113" s="235">
        <v>0.45833333333333331</v>
      </c>
      <c r="H113" s="235">
        <v>0.41666666666666669</v>
      </c>
      <c r="I113" s="235">
        <v>0.375</v>
      </c>
      <c r="J113" s="235">
        <v>0.33333333333333337</v>
      </c>
      <c r="K113" s="235">
        <v>0.29166666666666674</v>
      </c>
      <c r="L113" s="236">
        <v>0.25</v>
      </c>
      <c r="M113" s="115"/>
    </row>
    <row r="114" spans="1:13" ht="14.4" customHeight="1" outlineLevel="2">
      <c r="A114" s="363"/>
      <c r="B114" s="365"/>
      <c r="C114" s="151" t="str">
        <f t="shared" si="4"/>
        <v xml:space="preserve"> Périmètre hexagone</v>
      </c>
      <c r="D114" s="115"/>
      <c r="E114" s="637" t="s">
        <v>967</v>
      </c>
      <c r="F114" s="637"/>
      <c r="G114" s="637"/>
      <c r="H114" s="637"/>
      <c r="I114" s="637"/>
      <c r="J114" s="637"/>
      <c r="K114" s="637"/>
      <c r="L114" s="637"/>
      <c r="M114" s="115"/>
    </row>
    <row r="115" spans="1:13" s="399" customFormat="1" ht="14.4" customHeight="1" outlineLevel="1">
      <c r="A115" s="363"/>
      <c r="B115" s="365"/>
      <c r="C115" s="151"/>
      <c r="D115" s="115"/>
      <c r="E115" s="406"/>
      <c r="F115" s="406"/>
      <c r="G115" s="406"/>
      <c r="H115" s="406"/>
      <c r="I115" s="406"/>
      <c r="J115" s="406"/>
      <c r="K115" s="406"/>
      <c r="L115" s="406"/>
      <c r="M115" s="115"/>
    </row>
    <row r="116" spans="1:13" ht="15" outlineLevel="1" thickBot="1">
      <c r="A116" s="363"/>
      <c r="B116" s="365"/>
      <c r="C116" s="151" t="str">
        <f t="shared" si="4"/>
        <v>Evolution de l'ajout de lipides dans la ration des bovins au bâtiment</v>
      </c>
      <c r="D116" s="115"/>
      <c r="E116" s="615" t="s">
        <v>392</v>
      </c>
      <c r="F116" s="615"/>
      <c r="G116" s="615"/>
      <c r="H116" s="615"/>
      <c r="I116" s="615"/>
      <c r="J116" s="615"/>
      <c r="K116" s="615"/>
      <c r="L116" s="615"/>
      <c r="M116" s="115"/>
    </row>
    <row r="117" spans="1:13" outlineLevel="2">
      <c r="A117" s="363"/>
      <c r="B117" s="365"/>
      <c r="C117" s="151" t="str">
        <f t="shared" si="4"/>
        <v>Part (%)</v>
      </c>
      <c r="D117" s="115"/>
      <c r="E117" s="227" t="s">
        <v>391</v>
      </c>
      <c r="F117" s="228">
        <v>2021</v>
      </c>
      <c r="G117" s="228">
        <v>2025</v>
      </c>
      <c r="H117" s="228">
        <v>2030</v>
      </c>
      <c r="I117" s="228">
        <v>2035</v>
      </c>
      <c r="J117" s="228">
        <v>2040</v>
      </c>
      <c r="K117" s="228">
        <v>2045</v>
      </c>
      <c r="L117" s="229">
        <v>2050</v>
      </c>
      <c r="M117" s="115"/>
    </row>
    <row r="118" spans="1:13" ht="43.8" outlineLevel="2" thickBot="1">
      <c r="A118" s="363"/>
      <c r="B118" s="365"/>
      <c r="C118" s="151" t="str">
        <f t="shared" si="4"/>
        <v>Part des bovins au bâtiment concernés par l'ajout de lipides dans la ration (hors veaux de boucherie)</v>
      </c>
      <c r="D118" s="115"/>
      <c r="E118" s="233" t="s">
        <v>393</v>
      </c>
      <c r="F118" s="234">
        <v>0</v>
      </c>
      <c r="G118" s="235">
        <v>1.8750000000000003E-2</v>
      </c>
      <c r="H118" s="235">
        <v>0.05</v>
      </c>
      <c r="I118" s="235">
        <v>7.5000000000000011E-2</v>
      </c>
      <c r="J118" s="235">
        <v>0.1</v>
      </c>
      <c r="K118" s="235">
        <v>0.125</v>
      </c>
      <c r="L118" s="236">
        <v>0.15000000000000002</v>
      </c>
      <c r="M118" s="115"/>
    </row>
    <row r="119" spans="1:13" ht="14.4" customHeight="1" outlineLevel="2">
      <c r="A119" s="363"/>
      <c r="B119" s="365"/>
      <c r="C119" s="151" t="str">
        <f t="shared" si="4"/>
        <v>Ces apports supplémentaires de lipides permettent de diminuer les émissions de la fermentation entérique pour les bovins concernés, et ne peuvent se faire que sur les périodes de bâtiment.  Périmètre  hexagone</v>
      </c>
      <c r="D119" s="115"/>
      <c r="E119" s="637" t="s">
        <v>1027</v>
      </c>
      <c r="F119" s="637"/>
      <c r="G119" s="637"/>
      <c r="H119" s="637"/>
      <c r="I119" s="637"/>
      <c r="J119" s="637"/>
      <c r="K119" s="637"/>
      <c r="L119" s="637"/>
      <c r="M119" s="115"/>
    </row>
    <row r="120" spans="1:13" outlineLevel="2">
      <c r="A120" s="363"/>
      <c r="B120" s="365"/>
      <c r="C120" s="151"/>
      <c r="D120" s="115"/>
      <c r="E120" s="638"/>
      <c r="F120" s="638"/>
      <c r="G120" s="638"/>
      <c r="H120" s="638"/>
      <c r="I120" s="638"/>
      <c r="J120" s="638"/>
      <c r="K120" s="638"/>
      <c r="L120" s="638"/>
      <c r="M120" s="115"/>
    </row>
    <row r="121" spans="1:13" s="399" customFormat="1" outlineLevel="1">
      <c r="A121" s="363"/>
      <c r="B121" s="365"/>
      <c r="C121" s="151"/>
      <c r="D121" s="115"/>
      <c r="E121" s="509"/>
      <c r="F121" s="509"/>
      <c r="G121" s="509"/>
      <c r="H121" s="509"/>
      <c r="I121" s="509"/>
      <c r="J121" s="509"/>
      <c r="K121" s="509"/>
      <c r="L121" s="509"/>
      <c r="M121" s="115"/>
    </row>
    <row r="122" spans="1:13" s="399" customFormat="1" ht="15" outlineLevel="1" thickBot="1">
      <c r="A122" s="363"/>
      <c r="B122" s="365"/>
      <c r="C122" s="151" t="str">
        <f t="shared" ref="C122:C127" si="5">IF(ISBLANK(E122),IF(ISBLANK(F122),"",F122),E122)</f>
        <v>Part des bovins lait par type de régime alimentaire (%)</v>
      </c>
      <c r="D122" s="115"/>
      <c r="E122" s="634" t="s">
        <v>1032</v>
      </c>
      <c r="F122" s="634"/>
      <c r="G122" s="634"/>
      <c r="H122" s="634"/>
      <c r="I122" s="634"/>
      <c r="J122" s="634"/>
      <c r="K122" s="634"/>
      <c r="L122" s="634"/>
      <c r="M122" s="115"/>
    </row>
    <row r="123" spans="1:13" s="399" customFormat="1" outlineLevel="2">
      <c r="A123" s="363"/>
      <c r="B123" s="365"/>
      <c r="C123" s="151" t="str">
        <f t="shared" si="5"/>
        <v>Part (%)</v>
      </c>
      <c r="D123" s="115"/>
      <c r="E123" s="459" t="s">
        <v>391</v>
      </c>
      <c r="F123" s="323">
        <v>2020</v>
      </c>
      <c r="G123" s="323">
        <v>2025</v>
      </c>
      <c r="H123" s="323">
        <v>2030</v>
      </c>
      <c r="I123" s="323">
        <v>2035</v>
      </c>
      <c r="J123" s="323">
        <v>2040</v>
      </c>
      <c r="K123" s="323">
        <v>2045</v>
      </c>
      <c r="L123" s="324">
        <v>2050</v>
      </c>
      <c r="M123" s="115"/>
    </row>
    <row r="124" spans="1:13" s="399" customFormat="1" outlineLevel="2">
      <c r="A124" s="363"/>
      <c r="B124" s="365"/>
      <c r="C124" s="151" t="str">
        <f t="shared" si="5"/>
        <v>Régime herbager</v>
      </c>
      <c r="D124" s="115"/>
      <c r="E124" s="541" t="s">
        <v>1029</v>
      </c>
      <c r="F124" s="234">
        <v>0.27999999999999997</v>
      </c>
      <c r="G124" s="302"/>
      <c r="H124" s="302">
        <v>0.24</v>
      </c>
      <c r="I124" s="302"/>
      <c r="J124" s="302"/>
      <c r="K124" s="302"/>
      <c r="L124" s="542">
        <v>0.2</v>
      </c>
      <c r="M124" s="115"/>
    </row>
    <row r="125" spans="1:13" s="399" customFormat="1" outlineLevel="2">
      <c r="A125" s="363"/>
      <c r="B125" s="365"/>
      <c r="C125" s="151" t="str">
        <f t="shared" si="5"/>
        <v>Régime mixte</v>
      </c>
      <c r="D125" s="115"/>
      <c r="E125" s="541" t="s">
        <v>1030</v>
      </c>
      <c r="F125" s="234">
        <v>0.28000000000000003</v>
      </c>
      <c r="G125" s="302"/>
      <c r="H125" s="302">
        <v>0.28000000000000003</v>
      </c>
      <c r="I125" s="302"/>
      <c r="J125" s="302"/>
      <c r="K125" s="302"/>
      <c r="L125" s="542">
        <v>0.28000000000000003</v>
      </c>
      <c r="M125" s="115"/>
    </row>
    <row r="126" spans="1:13" s="399" customFormat="1" ht="15" outlineLevel="2" thickBot="1">
      <c r="A126" s="363"/>
      <c r="B126" s="365"/>
      <c r="C126" s="151" t="str">
        <f t="shared" si="5"/>
        <v>Régime majoritairement au maïs</v>
      </c>
      <c r="D126" s="115"/>
      <c r="E126" s="543" t="s">
        <v>1031</v>
      </c>
      <c r="F126" s="544">
        <v>0.44</v>
      </c>
      <c r="G126" s="545"/>
      <c r="H126" s="545">
        <v>0.48</v>
      </c>
      <c r="I126" s="545"/>
      <c r="J126" s="545"/>
      <c r="K126" s="545"/>
      <c r="L126" s="546">
        <v>0.52</v>
      </c>
      <c r="M126" s="115"/>
    </row>
    <row r="127" spans="1:13" s="399" customFormat="1" outlineLevel="2">
      <c r="A127" s="363"/>
      <c r="B127" s="365"/>
      <c r="C127" s="151" t="str">
        <f t="shared" si="5"/>
        <v>Périmètre  hexagone</v>
      </c>
      <c r="D127" s="115"/>
      <c r="E127" s="636" t="s">
        <v>1028</v>
      </c>
      <c r="F127" s="636"/>
      <c r="G127" s="636"/>
      <c r="H127" s="636"/>
      <c r="I127" s="636"/>
      <c r="J127" s="636"/>
      <c r="K127" s="636"/>
      <c r="L127" s="636"/>
      <c r="M127" s="115"/>
    </row>
    <row r="128" spans="1:13" outlineLevel="1">
      <c r="A128" s="363"/>
      <c r="B128" s="365"/>
      <c r="C128" s="151" t="str">
        <f t="shared" si="4"/>
        <v/>
      </c>
      <c r="D128" s="115"/>
      <c r="E128" s="142"/>
      <c r="F128" s="142"/>
      <c r="G128" s="142"/>
      <c r="H128" s="142"/>
      <c r="I128" s="142"/>
      <c r="J128" s="142"/>
      <c r="K128" s="142"/>
      <c r="L128" s="142"/>
      <c r="M128" s="115"/>
    </row>
    <row r="129" spans="1:13" ht="15" outlineLevel="1" thickBot="1">
      <c r="A129" s="363"/>
      <c r="B129" s="365"/>
      <c r="C129" s="151" t="str">
        <f t="shared" si="4"/>
        <v>Evolution des matériels d’épandage pour le lisier</v>
      </c>
      <c r="D129" s="115"/>
      <c r="E129" s="615" t="s">
        <v>394</v>
      </c>
      <c r="F129" s="615"/>
      <c r="G129" s="615"/>
      <c r="H129" s="615"/>
      <c r="I129" s="615"/>
      <c r="J129" s="615"/>
      <c r="K129" s="615"/>
      <c r="L129" s="615"/>
      <c r="M129" s="115"/>
    </row>
    <row r="130" spans="1:13" outlineLevel="2">
      <c r="A130" s="363"/>
      <c r="B130" s="365"/>
      <c r="C130" s="151" t="str">
        <f t="shared" si="4"/>
        <v>Part des matériels (%)</v>
      </c>
      <c r="D130" s="115"/>
      <c r="E130" s="227" t="s">
        <v>395</v>
      </c>
      <c r="F130" s="228">
        <v>2020</v>
      </c>
      <c r="G130" s="228">
        <v>2025</v>
      </c>
      <c r="H130" s="228">
        <v>2030</v>
      </c>
      <c r="I130" s="228">
        <v>2035</v>
      </c>
      <c r="J130" s="228">
        <v>2040</v>
      </c>
      <c r="K130" s="228">
        <v>2045</v>
      </c>
      <c r="L130" s="229">
        <v>2050</v>
      </c>
      <c r="M130" s="115"/>
    </row>
    <row r="131" spans="1:13" outlineLevel="2">
      <c r="A131" s="363"/>
      <c r="B131" s="365"/>
      <c r="C131" s="151" t="str">
        <f t="shared" si="4"/>
        <v>Buses</v>
      </c>
      <c r="D131" s="115"/>
      <c r="E131" s="233" t="s">
        <v>396</v>
      </c>
      <c r="F131" s="234">
        <v>0.63900000000000001</v>
      </c>
      <c r="G131" s="302"/>
      <c r="H131" s="302">
        <v>0.52</v>
      </c>
      <c r="I131" s="302"/>
      <c r="J131" s="302"/>
      <c r="K131" s="302"/>
      <c r="L131" s="540">
        <v>0.376</v>
      </c>
      <c r="M131" s="115"/>
    </row>
    <row r="132" spans="1:13" outlineLevel="2">
      <c r="A132" s="363"/>
      <c r="B132" s="365"/>
      <c r="C132" s="151" t="str">
        <f t="shared" si="4"/>
        <v>Pendillards</v>
      </c>
      <c r="D132" s="115"/>
      <c r="E132" s="233" t="s">
        <v>397</v>
      </c>
      <c r="F132" s="234">
        <v>0.28499999999999998</v>
      </c>
      <c r="G132" s="302"/>
      <c r="H132" s="302">
        <v>0.38</v>
      </c>
      <c r="I132" s="302"/>
      <c r="J132" s="302"/>
      <c r="K132" s="302"/>
      <c r="L132" s="540">
        <v>0.54400000000000004</v>
      </c>
      <c r="M132" s="115"/>
    </row>
    <row r="133" spans="1:13" ht="15" outlineLevel="2" thickBot="1">
      <c r="A133" s="363"/>
      <c r="B133" s="365"/>
      <c r="C133" s="151" t="str">
        <f t="shared" si="4"/>
        <v>Injecteur</v>
      </c>
      <c r="D133" s="115"/>
      <c r="E133" s="233" t="s">
        <v>398</v>
      </c>
      <c r="F133" s="234">
        <v>7.4999999999999997E-2</v>
      </c>
      <c r="G133" s="302"/>
      <c r="H133" s="302">
        <v>0.1</v>
      </c>
      <c r="I133" s="302"/>
      <c r="J133" s="302"/>
      <c r="K133" s="302"/>
      <c r="L133" s="540">
        <v>0.08</v>
      </c>
      <c r="M133" s="115"/>
    </row>
    <row r="134" spans="1:13" outlineLevel="2">
      <c r="A134" s="363"/>
      <c r="B134" s="365"/>
      <c r="C134" s="151" t="str">
        <f t="shared" si="4"/>
        <v>Les pendillards et injecteurs sont des matériels d’épandage qui permettent de diminuer fortement les émissions associées, par rapport à un épandage par buse palette.  Périmètre hexagone</v>
      </c>
      <c r="D134" s="115"/>
      <c r="E134" s="637" t="s">
        <v>979</v>
      </c>
      <c r="F134" s="637"/>
      <c r="G134" s="637"/>
      <c r="H134" s="637"/>
      <c r="I134" s="637"/>
      <c r="J134" s="637"/>
      <c r="K134" s="637"/>
      <c r="L134" s="637"/>
      <c r="M134" s="115"/>
    </row>
    <row r="135" spans="1:13" outlineLevel="2">
      <c r="A135" s="363"/>
      <c r="B135" s="365"/>
      <c r="C135" s="151"/>
      <c r="D135" s="115"/>
      <c r="E135" s="638"/>
      <c r="F135" s="638"/>
      <c r="G135" s="638"/>
      <c r="H135" s="638"/>
      <c r="I135" s="638"/>
      <c r="J135" s="638"/>
      <c r="K135" s="638"/>
      <c r="L135" s="638"/>
      <c r="M135" s="115"/>
    </row>
    <row r="136" spans="1:13" outlineLevel="1">
      <c r="A136" s="363"/>
      <c r="B136" s="365"/>
      <c r="C136" s="151" t="str">
        <f t="shared" si="4"/>
        <v/>
      </c>
      <c r="D136" s="115"/>
      <c r="E136" s="142"/>
      <c r="F136" s="142"/>
      <c r="G136" s="142"/>
      <c r="H136" s="142"/>
      <c r="I136" s="142"/>
      <c r="J136" s="142"/>
      <c r="K136" s="142"/>
      <c r="L136" s="142"/>
      <c r="M136" s="115"/>
    </row>
    <row r="137" spans="1:13" ht="15" outlineLevel="1" thickBot="1">
      <c r="A137" s="363"/>
      <c r="B137" s="365"/>
      <c r="C137" s="151" t="str">
        <f t="shared" si="4"/>
        <v>Evolution des délais d’incorporation post-épandage pour le lisier</v>
      </c>
      <c r="D137" s="115"/>
      <c r="E137" s="615" t="s">
        <v>399</v>
      </c>
      <c r="F137" s="615"/>
      <c r="G137" s="615"/>
      <c r="H137" s="615"/>
      <c r="I137" s="615"/>
      <c r="J137" s="615"/>
      <c r="K137" s="615"/>
      <c r="L137" s="615"/>
      <c r="M137" s="115"/>
    </row>
    <row r="138" spans="1:13" outlineLevel="2">
      <c r="A138" s="363"/>
      <c r="B138" s="365"/>
      <c r="C138" s="151" t="str">
        <f t="shared" si="4"/>
        <v>Parts dans les intervalles (%)</v>
      </c>
      <c r="D138" s="115"/>
      <c r="E138" s="227" t="s">
        <v>400</v>
      </c>
      <c r="F138" s="228">
        <v>2020</v>
      </c>
      <c r="G138" s="228">
        <v>2025</v>
      </c>
      <c r="H138" s="228">
        <v>2030</v>
      </c>
      <c r="I138" s="228">
        <v>2035</v>
      </c>
      <c r="J138" s="228">
        <v>2040</v>
      </c>
      <c r="K138" s="228">
        <v>2045</v>
      </c>
      <c r="L138" s="229">
        <v>2050</v>
      </c>
      <c r="M138" s="115"/>
    </row>
    <row r="139" spans="1:13" outlineLevel="2">
      <c r="A139" s="363"/>
      <c r="B139" s="365"/>
      <c r="C139" s="151" t="str">
        <f t="shared" si="4"/>
        <v>Dans les 4h</v>
      </c>
      <c r="D139" s="115"/>
      <c r="E139" s="233" t="s">
        <v>401</v>
      </c>
      <c r="F139" s="234">
        <v>0.189</v>
      </c>
      <c r="G139" s="302"/>
      <c r="H139" s="302">
        <v>0.19</v>
      </c>
      <c r="I139" s="302"/>
      <c r="J139" s="302"/>
      <c r="K139" s="302"/>
      <c r="L139" s="540">
        <v>0.22</v>
      </c>
      <c r="M139" s="115"/>
    </row>
    <row r="140" spans="1:13" outlineLevel="2">
      <c r="A140" s="363"/>
      <c r="B140" s="365"/>
      <c r="C140" s="151" t="str">
        <f t="shared" si="4"/>
        <v>Entre 4h et 12h</v>
      </c>
      <c r="D140" s="115"/>
      <c r="E140" s="233" t="s">
        <v>402</v>
      </c>
      <c r="F140" s="234">
        <v>7.1999999999999995E-2</v>
      </c>
      <c r="G140" s="302"/>
      <c r="H140" s="302">
        <v>0.08</v>
      </c>
      <c r="I140" s="302"/>
      <c r="J140" s="302"/>
      <c r="K140" s="302"/>
      <c r="L140" s="540">
        <v>0.11</v>
      </c>
      <c r="M140" s="115"/>
    </row>
    <row r="141" spans="1:13" outlineLevel="2">
      <c r="A141" s="363"/>
      <c r="B141" s="365"/>
      <c r="C141" s="151" t="str">
        <f t="shared" si="4"/>
        <v>Entre 12h et 24h</v>
      </c>
      <c r="D141" s="115"/>
      <c r="E141" s="233" t="s">
        <v>403</v>
      </c>
      <c r="F141" s="234">
        <v>0.126</v>
      </c>
      <c r="G141" s="302"/>
      <c r="H141" s="302">
        <v>0.14000000000000001</v>
      </c>
      <c r="I141" s="302"/>
      <c r="J141" s="302"/>
      <c r="K141" s="302"/>
      <c r="L141" s="540">
        <v>0.16</v>
      </c>
      <c r="M141" s="115"/>
    </row>
    <row r="142" spans="1:13" outlineLevel="2">
      <c r="A142" s="363"/>
      <c r="B142" s="365"/>
      <c r="C142" s="151" t="str">
        <f t="shared" si="4"/>
        <v>&gt;24h</v>
      </c>
      <c r="D142" s="115"/>
      <c r="E142" s="233" t="s">
        <v>404</v>
      </c>
      <c r="F142" s="234">
        <v>0.10299999999999999</v>
      </c>
      <c r="G142" s="302"/>
      <c r="H142" s="302">
        <v>0.1</v>
      </c>
      <c r="I142" s="302"/>
      <c r="J142" s="302"/>
      <c r="K142" s="302"/>
      <c r="L142" s="540">
        <v>7.0000000000000007E-2</v>
      </c>
      <c r="M142" s="115"/>
    </row>
    <row r="143" spans="1:13" ht="15" outlineLevel="2" thickBot="1">
      <c r="A143" s="363"/>
      <c r="B143" s="365"/>
      <c r="C143" s="151" t="str">
        <f t="shared" si="4"/>
        <v>non incorporé</v>
      </c>
      <c r="D143" s="115"/>
      <c r="E143" s="233" t="s">
        <v>405</v>
      </c>
      <c r="F143" s="234">
        <v>0.51</v>
      </c>
      <c r="G143" s="302"/>
      <c r="H143" s="302">
        <v>0.49</v>
      </c>
      <c r="I143" s="302"/>
      <c r="J143" s="302"/>
      <c r="K143" s="302"/>
      <c r="L143" s="540">
        <v>0.44</v>
      </c>
      <c r="M143" s="115"/>
    </row>
    <row r="144" spans="1:13" ht="14.4" customHeight="1" outlineLevel="2">
      <c r="A144" s="363"/>
      <c r="B144" s="365"/>
      <c r="C144" s="151" t="str">
        <f t="shared" si="4"/>
        <v>Plus le délai d’enfouissement post-épandage est faible, plus les émissions associées sont réduites.  A noter : la catégorie « dans les 4h » comporte les injecteurs.  Périmètre hexagone</v>
      </c>
      <c r="D144" s="115"/>
      <c r="E144" s="637" t="s">
        <v>978</v>
      </c>
      <c r="F144" s="637"/>
      <c r="G144" s="637"/>
      <c r="H144" s="637"/>
      <c r="I144" s="637"/>
      <c r="J144" s="637"/>
      <c r="K144" s="637"/>
      <c r="L144" s="637"/>
      <c r="M144" s="115"/>
    </row>
    <row r="145" spans="1:13" outlineLevel="1">
      <c r="A145" s="363"/>
      <c r="B145" s="365"/>
      <c r="C145" s="151" t="str">
        <f t="shared" si="4"/>
        <v/>
      </c>
      <c r="D145" s="115"/>
      <c r="E145" s="638"/>
      <c r="F145" s="638"/>
      <c r="G145" s="638"/>
      <c r="H145" s="638"/>
      <c r="I145" s="638"/>
      <c r="J145" s="638"/>
      <c r="K145" s="638"/>
      <c r="L145" s="638"/>
      <c r="M145" s="115"/>
    </row>
    <row r="146" spans="1:13" s="399" customFormat="1" outlineLevel="1">
      <c r="A146" s="363"/>
      <c r="B146" s="365"/>
      <c r="C146" s="151"/>
      <c r="D146" s="115"/>
      <c r="E146" s="406"/>
      <c r="F146" s="406"/>
      <c r="G146" s="406"/>
      <c r="H146" s="406"/>
      <c r="I146" s="406"/>
      <c r="J146" s="406"/>
      <c r="K146" s="406"/>
      <c r="L146" s="406"/>
      <c r="M146" s="115"/>
    </row>
    <row r="147" spans="1:13" ht="15" outlineLevel="1" thickBot="1">
      <c r="A147" s="363"/>
      <c r="B147" s="365"/>
      <c r="C147" s="151" t="str">
        <f t="shared" si="4"/>
        <v>Evolution des délais d’incorporation post-épandage pour le fumier</v>
      </c>
      <c r="D147" s="115"/>
      <c r="E147" s="615" t="s">
        <v>406</v>
      </c>
      <c r="F147" s="615"/>
      <c r="G147" s="615"/>
      <c r="H147" s="615"/>
      <c r="I147" s="615"/>
      <c r="J147" s="615"/>
      <c r="K147" s="615"/>
      <c r="L147" s="615"/>
      <c r="M147" s="115"/>
    </row>
    <row r="148" spans="1:13" outlineLevel="2">
      <c r="A148" s="363"/>
      <c r="B148" s="365"/>
      <c r="C148" s="151" t="str">
        <f t="shared" si="4"/>
        <v>Parts dans les intervalles (%)</v>
      </c>
      <c r="D148" s="115"/>
      <c r="E148" s="227" t="s">
        <v>400</v>
      </c>
      <c r="F148" s="228">
        <v>2020</v>
      </c>
      <c r="G148" s="228">
        <v>2025</v>
      </c>
      <c r="H148" s="228">
        <v>2030</v>
      </c>
      <c r="I148" s="228">
        <v>2035</v>
      </c>
      <c r="J148" s="228">
        <v>2040</v>
      </c>
      <c r="K148" s="228">
        <v>2045</v>
      </c>
      <c r="L148" s="229">
        <v>2050</v>
      </c>
      <c r="M148" s="115"/>
    </row>
    <row r="149" spans="1:13" outlineLevel="2">
      <c r="A149" s="363"/>
      <c r="B149" s="365"/>
      <c r="C149" s="151" t="str">
        <f t="shared" si="4"/>
        <v>Dans les 4h</v>
      </c>
      <c r="D149" s="115"/>
      <c r="E149" s="233" t="s">
        <v>401</v>
      </c>
      <c r="F149" s="234">
        <v>0.126</v>
      </c>
      <c r="G149" s="302"/>
      <c r="H149" s="302">
        <v>0.17399999999999999</v>
      </c>
      <c r="I149" s="302"/>
      <c r="J149" s="302"/>
      <c r="K149" s="302"/>
      <c r="L149" s="540">
        <v>0.29899999999999999</v>
      </c>
      <c r="M149" s="115"/>
    </row>
    <row r="150" spans="1:13" outlineLevel="2">
      <c r="A150" s="363"/>
      <c r="B150" s="365"/>
      <c r="C150" s="151" t="str">
        <f t="shared" si="4"/>
        <v>Entre 4h et 12h</v>
      </c>
      <c r="D150" s="115"/>
      <c r="E150" s="233" t="s">
        <v>402</v>
      </c>
      <c r="F150" s="234">
        <v>9.9000000000000005E-2</v>
      </c>
      <c r="G150" s="302"/>
      <c r="H150" s="302">
        <v>0.109</v>
      </c>
      <c r="I150" s="302"/>
      <c r="J150" s="302"/>
      <c r="K150" s="302"/>
      <c r="L150" s="540">
        <v>0.122</v>
      </c>
      <c r="M150" s="115"/>
    </row>
    <row r="151" spans="1:13" outlineLevel="2">
      <c r="A151" s="363"/>
      <c r="B151" s="365"/>
      <c r="C151" s="151" t="str">
        <f t="shared" si="4"/>
        <v>Entre 12h et 24h</v>
      </c>
      <c r="D151" s="115"/>
      <c r="E151" s="233" t="s">
        <v>403</v>
      </c>
      <c r="F151" s="234">
        <v>0.19700000000000001</v>
      </c>
      <c r="G151" s="302"/>
      <c r="H151" s="302">
        <v>0.186</v>
      </c>
      <c r="I151" s="302"/>
      <c r="J151" s="302"/>
      <c r="K151" s="302"/>
      <c r="L151" s="540">
        <v>0.156</v>
      </c>
      <c r="M151" s="115"/>
    </row>
    <row r="152" spans="1:13" outlineLevel="2">
      <c r="A152" s="363"/>
      <c r="B152" s="365"/>
      <c r="C152" s="151" t="str">
        <f t="shared" si="4"/>
        <v>&gt;24h</v>
      </c>
      <c r="D152" s="115"/>
      <c r="E152" s="233" t="s">
        <v>404</v>
      </c>
      <c r="F152" s="234">
        <v>0.27</v>
      </c>
      <c r="G152" s="302"/>
      <c r="H152" s="302">
        <v>0.24</v>
      </c>
      <c r="I152" s="302"/>
      <c r="J152" s="302"/>
      <c r="K152" s="302"/>
      <c r="L152" s="540">
        <v>0.13300000000000001</v>
      </c>
      <c r="M152" s="115"/>
    </row>
    <row r="153" spans="1:13" ht="15" outlineLevel="2" thickBot="1">
      <c r="A153" s="363"/>
      <c r="B153" s="365"/>
      <c r="C153" s="151" t="str">
        <f t="shared" si="4"/>
        <v>non incorporé</v>
      </c>
      <c r="D153" s="115"/>
      <c r="E153" s="233" t="s">
        <v>405</v>
      </c>
      <c r="F153" s="234">
        <v>0.309</v>
      </c>
      <c r="G153" s="302"/>
      <c r="H153" s="302">
        <v>0.28999999999999998</v>
      </c>
      <c r="I153" s="302"/>
      <c r="J153" s="302"/>
      <c r="K153" s="302"/>
      <c r="L153" s="540">
        <v>0.28999999999999998</v>
      </c>
      <c r="M153" s="115"/>
    </row>
    <row r="154" spans="1:13" outlineLevel="2">
      <c r="A154" s="363"/>
      <c r="B154" s="365"/>
      <c r="C154" s="151" t="str">
        <f t="shared" si="4"/>
        <v>Plus le délai d’enfouissement post-épandage est faible, plus les émissions associées sont réduites. A noter : la catégorie « dans les 4h » comporte les injecteurs. Périmètre hexagone</v>
      </c>
      <c r="D154" s="115"/>
      <c r="E154" s="637" t="s">
        <v>977</v>
      </c>
      <c r="F154" s="637"/>
      <c r="G154" s="637"/>
      <c r="H154" s="637"/>
      <c r="I154" s="637"/>
      <c r="J154" s="637"/>
      <c r="K154" s="637"/>
      <c r="L154" s="637"/>
      <c r="M154" s="115"/>
    </row>
    <row r="155" spans="1:13" outlineLevel="1">
      <c r="A155" s="363"/>
      <c r="B155" s="365"/>
      <c r="C155" s="151" t="str">
        <f t="shared" si="4"/>
        <v/>
      </c>
      <c r="D155" s="115"/>
      <c r="E155" s="638"/>
      <c r="F155" s="638"/>
      <c r="G155" s="638"/>
      <c r="H155" s="638"/>
      <c r="I155" s="638"/>
      <c r="J155" s="638"/>
      <c r="K155" s="638"/>
      <c r="L155" s="638"/>
      <c r="M155" s="115"/>
    </row>
    <row r="156" spans="1:13" s="399" customFormat="1" outlineLevel="1">
      <c r="A156" s="363"/>
      <c r="B156" s="365"/>
      <c r="C156" s="151"/>
      <c r="D156" s="115"/>
      <c r="E156" s="406"/>
      <c r="F156" s="406"/>
      <c r="G156" s="406"/>
      <c r="H156" s="406"/>
      <c r="I156" s="406"/>
      <c r="J156" s="406"/>
      <c r="K156" s="406"/>
      <c r="L156" s="406"/>
      <c r="M156" s="115"/>
    </row>
    <row r="157" spans="1:13" ht="28.8" thickBot="1">
      <c r="A157" s="363"/>
      <c r="B157" s="365"/>
      <c r="C157" s="151" t="str">
        <f t="shared" si="4"/>
        <v>Cultures et prairies</v>
      </c>
      <c r="D157" s="369"/>
      <c r="E157" s="370"/>
      <c r="F157" s="617" t="s">
        <v>1013</v>
      </c>
      <c r="G157" s="617"/>
      <c r="H157" s="617"/>
      <c r="I157" s="617"/>
      <c r="J157" s="617"/>
      <c r="K157" s="617"/>
      <c r="L157" s="617"/>
      <c r="M157" s="617"/>
    </row>
    <row r="158" spans="1:13" ht="15" thickTop="1">
      <c r="A158" s="363"/>
      <c r="B158" s="365"/>
      <c r="C158" s="151" t="str">
        <f t="shared" si="4"/>
        <v/>
      </c>
      <c r="D158" s="208"/>
      <c r="E158" s="208"/>
      <c r="F158" s="208"/>
    </row>
    <row r="159" spans="1:13" outlineLevel="1">
      <c r="A159" s="363"/>
      <c r="B159" s="365"/>
      <c r="C159" s="151" t="str">
        <f t="shared" ref="C159:C221" si="6">IF(ISBLANK(E159),IF(ISBLANK(F159),"",F159),E159)</f>
        <v/>
      </c>
      <c r="D159" s="115"/>
      <c r="E159" s="115"/>
      <c r="F159" s="115"/>
      <c r="G159" s="115"/>
      <c r="H159" s="115"/>
      <c r="I159" s="115"/>
      <c r="J159" s="115"/>
      <c r="K159" s="115"/>
      <c r="L159" s="115"/>
      <c r="M159" s="115"/>
    </row>
    <row r="160" spans="1:13" outlineLevel="1">
      <c r="A160" s="363"/>
      <c r="B160" s="365"/>
      <c r="C160" s="151" t="str">
        <f t="shared" si="6"/>
        <v/>
      </c>
      <c r="D160" s="115"/>
      <c r="E160" s="142"/>
      <c r="F160" s="142"/>
      <c r="G160" s="142"/>
      <c r="H160" s="142"/>
      <c r="I160" s="142"/>
      <c r="J160" s="142"/>
      <c r="K160" s="142"/>
      <c r="L160" s="142"/>
      <c r="M160" s="115"/>
    </row>
    <row r="161" spans="1:13" outlineLevel="1">
      <c r="A161" s="363"/>
      <c r="B161" s="365"/>
      <c r="C161" s="151" t="str">
        <f t="shared" si="6"/>
        <v/>
      </c>
      <c r="D161" s="115"/>
      <c r="E161" s="142"/>
      <c r="F161" s="142"/>
      <c r="G161" s="142"/>
      <c r="H161" s="142"/>
      <c r="I161" s="142"/>
      <c r="J161" s="142"/>
      <c r="K161" s="142"/>
      <c r="L161" s="142"/>
      <c r="M161" s="115"/>
    </row>
    <row r="162" spans="1:13" ht="15" outlineLevel="1" thickBot="1">
      <c r="A162" s="363"/>
      <c r="B162" s="365"/>
      <c r="C162" s="151" t="str">
        <f t="shared" si="6"/>
        <v>Evolution des surfaces de céréales (kha)</v>
      </c>
      <c r="D162" s="115"/>
      <c r="E162" s="634" t="s">
        <v>407</v>
      </c>
      <c r="F162" s="634"/>
      <c r="G162" s="634"/>
      <c r="H162" s="634"/>
      <c r="I162" s="634"/>
      <c r="J162" s="634"/>
      <c r="K162" s="634"/>
      <c r="L162" s="634"/>
      <c r="M162" s="115"/>
    </row>
    <row r="163" spans="1:13" outlineLevel="2">
      <c r="A163" s="363"/>
      <c r="B163" s="365"/>
      <c r="C163" s="151" t="str">
        <f t="shared" si="6"/>
        <v>kha</v>
      </c>
      <c r="D163" s="115"/>
      <c r="E163" s="237" t="s">
        <v>408</v>
      </c>
      <c r="F163" s="238">
        <v>2021</v>
      </c>
      <c r="G163" s="238">
        <v>2025</v>
      </c>
      <c r="H163" s="238">
        <v>2030</v>
      </c>
      <c r="I163" s="238">
        <v>2035</v>
      </c>
      <c r="J163" s="238">
        <v>2040</v>
      </c>
      <c r="K163" s="238">
        <v>2045</v>
      </c>
      <c r="L163" s="239">
        <v>2050</v>
      </c>
      <c r="M163" s="115"/>
    </row>
    <row r="164" spans="1:13" outlineLevel="2">
      <c r="A164" s="363"/>
      <c r="B164" s="365"/>
      <c r="C164" s="151" t="str">
        <f t="shared" si="6"/>
        <v>Total</v>
      </c>
      <c r="D164" s="115"/>
      <c r="E164" s="240" t="s">
        <v>144</v>
      </c>
      <c r="F164" s="583">
        <f>SUM(F165:F179)</f>
        <v>9317.7080000000024</v>
      </c>
      <c r="G164" s="584">
        <f t="shared" ref="G164:L164" si="7">SUM(G165:G179)</f>
        <v>8817.6726466625332</v>
      </c>
      <c r="H164" s="584">
        <f t="shared" si="7"/>
        <v>8563.4120577667545</v>
      </c>
      <c r="I164" s="584">
        <f t="shared" si="7"/>
        <v>8857.5277745807853</v>
      </c>
      <c r="J164" s="584">
        <f t="shared" si="7"/>
        <v>9151.6434913948142</v>
      </c>
      <c r="K164" s="584">
        <f t="shared" si="7"/>
        <v>9445.7592082088449</v>
      </c>
      <c r="L164" s="585">
        <f t="shared" si="7"/>
        <v>9739.874925022872</v>
      </c>
      <c r="M164" s="115"/>
    </row>
    <row r="165" spans="1:13" outlineLevel="2">
      <c r="A165" s="363"/>
      <c r="B165" s="365"/>
      <c r="C165" s="151" t="str">
        <f t="shared" si="6"/>
        <v>Blé tendre d'hiver</v>
      </c>
      <c r="D165" s="115"/>
      <c r="E165" s="244" t="s">
        <v>409</v>
      </c>
      <c r="F165" s="336">
        <v>4960.4639999999999</v>
      </c>
      <c r="G165" s="337">
        <v>4373.6030041189397</v>
      </c>
      <c r="H165" s="337">
        <v>3882.7680109838384</v>
      </c>
      <c r="I165" s="337">
        <v>4131.8123473473743</v>
      </c>
      <c r="J165" s="337">
        <v>4380.8566837109092</v>
      </c>
      <c r="K165" s="337">
        <v>4629.9010200744451</v>
      </c>
      <c r="L165" s="338">
        <v>4878.945356437981</v>
      </c>
      <c r="M165" s="115"/>
    </row>
    <row r="166" spans="1:13" outlineLevel="2">
      <c r="A166" s="363"/>
      <c r="B166" s="365"/>
      <c r="C166" s="151" t="str">
        <f t="shared" si="6"/>
        <v>Blé tendre de printemps</v>
      </c>
      <c r="D166" s="115"/>
      <c r="E166" s="244" t="s">
        <v>410</v>
      </c>
      <c r="F166" s="336">
        <v>22.042000000000002</v>
      </c>
      <c r="G166" s="337">
        <v>29.541567040805649</v>
      </c>
      <c r="H166" s="337">
        <v>37.807512108815061</v>
      </c>
      <c r="I166" s="337">
        <v>40.232520952006382</v>
      </c>
      <c r="J166" s="337">
        <v>42.657529795197696</v>
      </c>
      <c r="K166" s="337">
        <v>45.082538638389025</v>
      </c>
      <c r="L166" s="338">
        <v>47.507547481580353</v>
      </c>
      <c r="M166" s="115"/>
    </row>
    <row r="167" spans="1:13" outlineLevel="2">
      <c r="A167" s="363"/>
      <c r="B167" s="365"/>
      <c r="C167" s="151" t="str">
        <f t="shared" si="6"/>
        <v>Blé dur d'hiver</v>
      </c>
      <c r="D167" s="115"/>
      <c r="E167" s="244" t="s">
        <v>411</v>
      </c>
      <c r="F167" s="336">
        <v>285.31200000000001</v>
      </c>
      <c r="G167" s="337">
        <v>228.37819114478262</v>
      </c>
      <c r="H167" s="337">
        <v>200.65184305275363</v>
      </c>
      <c r="I167" s="337">
        <v>213.52183810572396</v>
      </c>
      <c r="J167" s="337">
        <v>226.39183315869428</v>
      </c>
      <c r="K167" s="337">
        <v>239.26182821166461</v>
      </c>
      <c r="L167" s="338">
        <v>252.13182326463487</v>
      </c>
      <c r="M167" s="115"/>
    </row>
    <row r="168" spans="1:13" outlineLevel="2">
      <c r="A168" s="363"/>
      <c r="B168" s="365"/>
      <c r="C168" s="151" t="str">
        <f t="shared" si="6"/>
        <v>Blé dur de printemps</v>
      </c>
      <c r="D168" s="115"/>
      <c r="E168" s="244" t="s">
        <v>412</v>
      </c>
      <c r="F168" s="336">
        <v>8.9139999999999997</v>
      </c>
      <c r="G168" s="337">
        <v>16.516560359855372</v>
      </c>
      <c r="H168" s="337">
        <v>31.117494292947658</v>
      </c>
      <c r="I168" s="337">
        <v>33.113399197273786</v>
      </c>
      <c r="J168" s="337">
        <v>35.109304101599911</v>
      </c>
      <c r="K168" s="337">
        <v>37.105209005926042</v>
      </c>
      <c r="L168" s="338">
        <v>39.101113910252181</v>
      </c>
      <c r="M168" s="115"/>
    </row>
    <row r="169" spans="1:13" outlineLevel="2">
      <c r="A169" s="363"/>
      <c r="B169" s="365"/>
      <c r="C169" s="151" t="str">
        <f t="shared" si="6"/>
        <v>Seigle et méteil</v>
      </c>
      <c r="D169" s="115"/>
      <c r="E169" s="244" t="s">
        <v>413</v>
      </c>
      <c r="F169" s="336">
        <v>43.220999999999997</v>
      </c>
      <c r="G169" s="337">
        <v>36.887912116156521</v>
      </c>
      <c r="H169" s="337">
        <v>29.362765643084053</v>
      </c>
      <c r="I169" s="337">
        <v>31.246120626614726</v>
      </c>
      <c r="J169" s="337">
        <v>33.129475610145406</v>
      </c>
      <c r="K169" s="337">
        <v>35.012830593676078</v>
      </c>
      <c r="L169" s="338">
        <v>36.896185577206751</v>
      </c>
      <c r="M169" s="115"/>
    </row>
    <row r="170" spans="1:13" outlineLevel="2">
      <c r="A170" s="363"/>
      <c r="B170" s="365"/>
      <c r="C170" s="151"/>
      <c r="D170" s="115"/>
      <c r="E170" s="244" t="s">
        <v>414</v>
      </c>
      <c r="F170" s="336">
        <v>1199.431</v>
      </c>
      <c r="G170" s="337">
        <v>1295.2784175825823</v>
      </c>
      <c r="H170" s="337">
        <v>1300.9374468868855</v>
      </c>
      <c r="I170" s="337">
        <v>1296.2346102367489</v>
      </c>
      <c r="J170" s="337">
        <v>1291.5317735866126</v>
      </c>
      <c r="K170" s="337">
        <v>1286.8289369364763</v>
      </c>
      <c r="L170" s="338">
        <v>1282.1261002863398</v>
      </c>
      <c r="M170" s="115"/>
    </row>
    <row r="171" spans="1:13" outlineLevel="2">
      <c r="A171" s="363"/>
      <c r="B171" s="365"/>
      <c r="C171" s="151"/>
      <c r="D171" s="115"/>
      <c r="E171" s="244" t="s">
        <v>415</v>
      </c>
      <c r="F171" s="336">
        <v>530.93799999999999</v>
      </c>
      <c r="G171" s="337">
        <v>683.34979026933649</v>
      </c>
      <c r="H171" s="337">
        <v>875.46444071823066</v>
      </c>
      <c r="I171" s="337">
        <v>872.29967190666855</v>
      </c>
      <c r="J171" s="337">
        <v>869.13490309510644</v>
      </c>
      <c r="K171" s="337">
        <v>865.97013428354433</v>
      </c>
      <c r="L171" s="338">
        <v>862.80536547198233</v>
      </c>
      <c r="M171" s="115"/>
    </row>
    <row r="172" spans="1:13" outlineLevel="2">
      <c r="A172" s="363"/>
      <c r="B172" s="365"/>
      <c r="C172" s="151"/>
      <c r="D172" s="115"/>
      <c r="E172" s="244" t="s">
        <v>416</v>
      </c>
      <c r="F172" s="336">
        <v>61.11</v>
      </c>
      <c r="G172" s="337">
        <v>48.312691107223586</v>
      </c>
      <c r="H172" s="337">
        <v>38.557176285929565</v>
      </c>
      <c r="I172" s="337">
        <v>41.03026928376439</v>
      </c>
      <c r="J172" s="337">
        <v>43.503362281599223</v>
      </c>
      <c r="K172" s="337">
        <v>45.976455279434042</v>
      </c>
      <c r="L172" s="338">
        <v>48.44954827726886</v>
      </c>
      <c r="M172" s="115"/>
    </row>
    <row r="173" spans="1:13" outlineLevel="2">
      <c r="A173" s="363"/>
      <c r="B173" s="365"/>
      <c r="C173" s="151"/>
      <c r="D173" s="115"/>
      <c r="E173" s="244" t="s">
        <v>417</v>
      </c>
      <c r="F173" s="336">
        <v>46.052</v>
      </c>
      <c r="G173" s="337">
        <v>46.012756049545551</v>
      </c>
      <c r="H173" s="337">
        <v>51.849016132121484</v>
      </c>
      <c r="I173" s="337">
        <v>55.174660048316866</v>
      </c>
      <c r="J173" s="337">
        <v>58.500303964512248</v>
      </c>
      <c r="K173" s="337">
        <v>61.825947880707631</v>
      </c>
      <c r="L173" s="338">
        <v>65.15159179690302</v>
      </c>
      <c r="M173" s="115"/>
    </row>
    <row r="174" spans="1:13" outlineLevel="2">
      <c r="A174" s="363"/>
      <c r="B174" s="365"/>
      <c r="C174" s="151"/>
      <c r="D174" s="115"/>
      <c r="E174" s="244" t="s">
        <v>418</v>
      </c>
      <c r="F174" s="336">
        <v>1549.4449999999999</v>
      </c>
      <c r="G174" s="337">
        <v>1495.1411367348599</v>
      </c>
      <c r="H174" s="337">
        <v>1589.3146979596263</v>
      </c>
      <c r="I174" s="337">
        <v>1583.5693891224869</v>
      </c>
      <c r="J174" s="337">
        <v>1577.8240802853472</v>
      </c>
      <c r="K174" s="337">
        <v>1572.0787714482078</v>
      </c>
      <c r="L174" s="338">
        <v>1566.3334626110682</v>
      </c>
      <c r="M174" s="115"/>
    </row>
    <row r="175" spans="1:13" outlineLevel="2">
      <c r="A175" s="363"/>
      <c r="B175" s="365"/>
      <c r="C175" s="151" t="str">
        <f t="shared" si="6"/>
        <v>Sorgho</v>
      </c>
      <c r="D175" s="115"/>
      <c r="E175" s="244" t="s">
        <v>419</v>
      </c>
      <c r="F175" s="336">
        <v>67.477000000000004</v>
      </c>
      <c r="G175" s="337">
        <v>62.345663308158173</v>
      </c>
      <c r="H175" s="337">
        <v>85.973435488421785</v>
      </c>
      <c r="I175" s="337">
        <v>91.48785126745824</v>
      </c>
      <c r="J175" s="337">
        <v>97.002267046494694</v>
      </c>
      <c r="K175" s="337">
        <v>102.51668282553115</v>
      </c>
      <c r="L175" s="338">
        <v>108.0310986045676</v>
      </c>
      <c r="M175" s="115"/>
    </row>
    <row r="176" spans="1:13" outlineLevel="2">
      <c r="A176" s="363"/>
      <c r="B176" s="365"/>
      <c r="C176" s="151" t="str">
        <f t="shared" si="6"/>
        <v>Triticale</v>
      </c>
      <c r="D176" s="115"/>
      <c r="E176" s="244" t="s">
        <v>420</v>
      </c>
      <c r="F176" s="336">
        <v>338.59899999999999</v>
      </c>
      <c r="G176" s="337">
        <v>303.61743122131503</v>
      </c>
      <c r="H176" s="337">
        <v>240.35648325684011</v>
      </c>
      <c r="I176" s="337">
        <v>255.77317070611304</v>
      </c>
      <c r="J176" s="337">
        <v>271.18985815538593</v>
      </c>
      <c r="K176" s="337">
        <v>286.60654560465889</v>
      </c>
      <c r="L176" s="338">
        <v>302.02323305393185</v>
      </c>
      <c r="M176" s="115"/>
    </row>
    <row r="177" spans="1:13" outlineLevel="2">
      <c r="A177" s="363"/>
      <c r="B177" s="365"/>
      <c r="C177" s="151" t="str">
        <f t="shared" si="6"/>
        <v>Autres céréales non mélangées</v>
      </c>
      <c r="D177" s="115"/>
      <c r="E177" s="244" t="s">
        <v>421</v>
      </c>
      <c r="F177" s="336">
        <v>66.539000000000001</v>
      </c>
      <c r="G177" s="337">
        <v>75.876797623144142</v>
      </c>
      <c r="H177" s="337">
        <v>92.516460328384383</v>
      </c>
      <c r="I177" s="337">
        <v>98.450551780669656</v>
      </c>
      <c r="J177" s="337">
        <v>104.38464323295493</v>
      </c>
      <c r="K177" s="337">
        <v>110.3187346852402</v>
      </c>
      <c r="L177" s="338">
        <v>116.25282613752546</v>
      </c>
      <c r="M177" s="115"/>
    </row>
    <row r="178" spans="1:13" outlineLevel="2">
      <c r="A178" s="363"/>
      <c r="B178" s="365"/>
      <c r="C178" s="151" t="str">
        <f t="shared" si="6"/>
        <v>Mélanges de céréales (hors méteil)</v>
      </c>
      <c r="D178" s="115"/>
      <c r="E178" s="244" t="s">
        <v>422</v>
      </c>
      <c r="F178" s="336">
        <v>126.142</v>
      </c>
      <c r="G178" s="337">
        <v>110.77870070980099</v>
      </c>
      <c r="H178" s="337">
        <v>93.82653522613596</v>
      </c>
      <c r="I178" s="337">
        <v>99.84465609572716</v>
      </c>
      <c r="J178" s="337">
        <v>105.86277696531835</v>
      </c>
      <c r="K178" s="337">
        <v>111.88089783490955</v>
      </c>
      <c r="L178" s="338">
        <v>117.89901870450075</v>
      </c>
      <c r="M178" s="115"/>
    </row>
    <row r="179" spans="1:13" ht="15" outlineLevel="2" thickBot="1">
      <c r="A179" s="363"/>
      <c r="B179" s="365"/>
      <c r="C179" s="151" t="str">
        <f t="shared" si="6"/>
        <v>Riz</v>
      </c>
      <c r="D179" s="115"/>
      <c r="E179" s="247" t="s">
        <v>423</v>
      </c>
      <c r="F179" s="497">
        <v>12.022</v>
      </c>
      <c r="G179" s="498">
        <v>12.032027276027511</v>
      </c>
      <c r="H179" s="498">
        <v>12.908739402740027</v>
      </c>
      <c r="I179" s="498">
        <v>13.736717903837913</v>
      </c>
      <c r="J179" s="498">
        <v>14.5646964049358</v>
      </c>
      <c r="K179" s="498">
        <v>15.392674906033685</v>
      </c>
      <c r="L179" s="499">
        <v>16.220653407131568</v>
      </c>
      <c r="M179" s="115"/>
    </row>
    <row r="180" spans="1:13" outlineLevel="2">
      <c r="A180" s="363"/>
      <c r="B180" s="365"/>
      <c r="C180" s="151" t="str">
        <f t="shared" si="6"/>
        <v xml:space="preserve"> Périmètre hexagone</v>
      </c>
      <c r="D180" s="115"/>
      <c r="E180" s="610" t="s">
        <v>967</v>
      </c>
      <c r="F180" s="610"/>
      <c r="G180" s="610"/>
      <c r="H180" s="610"/>
      <c r="I180" s="610"/>
      <c r="J180" s="610"/>
      <c r="K180" s="610"/>
      <c r="L180" s="610"/>
      <c r="M180" s="115"/>
    </row>
    <row r="181" spans="1:13" outlineLevel="1">
      <c r="A181" s="363"/>
      <c r="B181" s="365"/>
      <c r="C181" s="151" t="str">
        <f t="shared" si="6"/>
        <v/>
      </c>
      <c r="D181" s="115"/>
      <c r="E181" s="142"/>
      <c r="F181" s="142"/>
      <c r="G181" s="142"/>
      <c r="H181" s="142"/>
      <c r="I181" s="142"/>
      <c r="J181" s="142"/>
      <c r="K181" s="142"/>
      <c r="L181" s="142"/>
      <c r="M181" s="115"/>
    </row>
    <row r="182" spans="1:13" ht="15" outlineLevel="1" thickBot="1">
      <c r="A182" s="363"/>
      <c r="B182" s="365"/>
      <c r="C182" s="151" t="str">
        <f t="shared" si="6"/>
        <v>Evolution des surfaces d'oléagineux (kha)</v>
      </c>
      <c r="D182" s="115"/>
      <c r="E182" s="634" t="s">
        <v>424</v>
      </c>
      <c r="F182" s="634"/>
      <c r="G182" s="634"/>
      <c r="H182" s="634"/>
      <c r="I182" s="634"/>
      <c r="J182" s="634"/>
      <c r="K182" s="634"/>
      <c r="L182" s="634"/>
      <c r="M182" s="115"/>
    </row>
    <row r="183" spans="1:13" outlineLevel="2">
      <c r="A183" s="363"/>
      <c r="B183" s="365"/>
      <c r="C183" s="151" t="str">
        <f t="shared" si="6"/>
        <v>kha</v>
      </c>
      <c r="D183" s="115"/>
      <c r="E183" s="237" t="s">
        <v>408</v>
      </c>
      <c r="F183" s="238">
        <v>2021</v>
      </c>
      <c r="G183" s="238">
        <v>2025</v>
      </c>
      <c r="H183" s="238">
        <v>2030</v>
      </c>
      <c r="I183" s="238">
        <v>2035</v>
      </c>
      <c r="J183" s="238">
        <v>2040</v>
      </c>
      <c r="K183" s="238">
        <v>2045</v>
      </c>
      <c r="L183" s="239">
        <v>2050</v>
      </c>
      <c r="M183" s="115"/>
    </row>
    <row r="184" spans="1:13" outlineLevel="2">
      <c r="A184" s="363"/>
      <c r="B184" s="365"/>
      <c r="C184" s="151" t="str">
        <f t="shared" si="6"/>
        <v>Total</v>
      </c>
      <c r="D184" s="115"/>
      <c r="E184" s="240" t="s">
        <v>144</v>
      </c>
      <c r="F184" s="583">
        <f>SUM(F185:F189)</f>
        <v>1724.5360000000001</v>
      </c>
      <c r="G184" s="584">
        <f t="shared" ref="G184:L184" si="8">SUM(G185:G189)</f>
        <v>2040.3306504109507</v>
      </c>
      <c r="H184" s="584">
        <f t="shared" si="8"/>
        <v>1892.0034010958682</v>
      </c>
      <c r="I184" s="584">
        <f t="shared" si="8"/>
        <v>1949.2227995928424</v>
      </c>
      <c r="J184" s="584">
        <f t="shared" si="8"/>
        <v>2006.4421980898167</v>
      </c>
      <c r="K184" s="584">
        <f t="shared" si="8"/>
        <v>2063.6615965867913</v>
      </c>
      <c r="L184" s="585">
        <f t="shared" si="8"/>
        <v>2120.8809950837658</v>
      </c>
      <c r="M184" s="115"/>
    </row>
    <row r="185" spans="1:13" outlineLevel="2">
      <c r="A185" s="363"/>
      <c r="B185" s="365"/>
      <c r="C185" s="151" t="str">
        <f t="shared" si="6"/>
        <v>Colza d'hiver (et navette)</v>
      </c>
      <c r="D185" s="115"/>
      <c r="E185" s="244" t="s">
        <v>425</v>
      </c>
      <c r="F185" s="483">
        <v>978.71500000000003</v>
      </c>
      <c r="G185" s="484">
        <v>1158.6206248451565</v>
      </c>
      <c r="H185" s="484">
        <v>1043.918332920417</v>
      </c>
      <c r="I185" s="484">
        <v>1103.3988200086346</v>
      </c>
      <c r="J185" s="484">
        <v>1162.8793070968522</v>
      </c>
      <c r="K185" s="484">
        <v>1222.3597941850701</v>
      </c>
      <c r="L185" s="496">
        <v>1281.8402812732882</v>
      </c>
      <c r="M185" s="115"/>
    </row>
    <row r="186" spans="1:13" outlineLevel="2">
      <c r="A186" s="363"/>
      <c r="B186" s="365"/>
      <c r="C186" s="151" t="str">
        <f t="shared" si="6"/>
        <v>Colza de printemps (et navette)</v>
      </c>
      <c r="D186" s="115"/>
      <c r="E186" s="244" t="s">
        <v>426</v>
      </c>
      <c r="F186" s="483">
        <v>1.4119999999999999</v>
      </c>
      <c r="G186" s="484">
        <v>1.8016235700707981</v>
      </c>
      <c r="H186" s="484">
        <v>2.3926628535221282</v>
      </c>
      <c r="I186" s="484">
        <v>2.5289922458484821</v>
      </c>
      <c r="J186" s="484">
        <v>2.6653216381748361</v>
      </c>
      <c r="K186" s="484">
        <v>2.8016510305011906</v>
      </c>
      <c r="L186" s="496">
        <v>2.9379804228275459</v>
      </c>
      <c r="M186" s="115"/>
    </row>
    <row r="187" spans="1:13" outlineLevel="2">
      <c r="A187" s="363"/>
      <c r="B187" s="365"/>
      <c r="C187" s="151" t="str">
        <f t="shared" si="6"/>
        <v>Tournesol</v>
      </c>
      <c r="D187" s="115"/>
      <c r="E187" s="244" t="s">
        <v>427</v>
      </c>
      <c r="F187" s="483">
        <v>698.35900000000004</v>
      </c>
      <c r="G187" s="484">
        <v>840.57322316508794</v>
      </c>
      <c r="H187" s="484">
        <v>806.99026177356802</v>
      </c>
      <c r="I187" s="484">
        <v>804.07302437029887</v>
      </c>
      <c r="J187" s="484">
        <v>801.15578696702971</v>
      </c>
      <c r="K187" s="484">
        <v>798.23854956376056</v>
      </c>
      <c r="L187" s="496">
        <v>795.32131216049152</v>
      </c>
      <c r="M187" s="115"/>
    </row>
    <row r="188" spans="1:13" outlineLevel="2">
      <c r="A188" s="363"/>
      <c r="B188" s="365"/>
      <c r="C188" s="151" t="str">
        <f t="shared" si="6"/>
        <v>Lin oléagineux</v>
      </c>
      <c r="D188" s="115"/>
      <c r="E188" s="244" t="s">
        <v>428</v>
      </c>
      <c r="F188" s="483">
        <v>37.503</v>
      </c>
      <c r="G188" s="484">
        <v>29.579000000000001</v>
      </c>
      <c r="H188" s="484">
        <v>29.579000000000001</v>
      </c>
      <c r="I188" s="484">
        <v>29.579000000000001</v>
      </c>
      <c r="J188" s="484">
        <v>29.579000000000001</v>
      </c>
      <c r="K188" s="484">
        <v>29.579000000000001</v>
      </c>
      <c r="L188" s="496">
        <v>29.579000000000001</v>
      </c>
      <c r="M188" s="115"/>
    </row>
    <row r="189" spans="1:13" ht="15" outlineLevel="2" thickBot="1">
      <c r="A189" s="363"/>
      <c r="B189" s="365"/>
      <c r="C189" s="151" t="str">
        <f t="shared" si="6"/>
        <v>Autres oléagineux</v>
      </c>
      <c r="D189" s="115"/>
      <c r="E189" s="247" t="s">
        <v>429</v>
      </c>
      <c r="F189" s="500">
        <v>8.5470000000000006</v>
      </c>
      <c r="G189" s="501">
        <v>9.7561788306353741</v>
      </c>
      <c r="H189" s="501">
        <v>9.1231435483609928</v>
      </c>
      <c r="I189" s="501">
        <v>9.642962968060381</v>
      </c>
      <c r="J189" s="501">
        <v>10.162782387759769</v>
      </c>
      <c r="K189" s="501">
        <v>10.682601807459157</v>
      </c>
      <c r="L189" s="502">
        <v>11.202421227158547</v>
      </c>
      <c r="M189" s="115"/>
    </row>
    <row r="190" spans="1:13" outlineLevel="2">
      <c r="A190" s="363"/>
      <c r="B190" s="365"/>
      <c r="C190" s="151" t="str">
        <f t="shared" si="6"/>
        <v xml:space="preserve"> Périmètre hexagone</v>
      </c>
      <c r="D190" s="115"/>
      <c r="E190" s="639" t="s">
        <v>967</v>
      </c>
      <c r="F190" s="639"/>
      <c r="G190" s="639"/>
      <c r="H190" s="639"/>
      <c r="I190" s="639"/>
      <c r="J190" s="639"/>
      <c r="K190" s="639"/>
      <c r="L190" s="639"/>
      <c r="M190" s="115"/>
    </row>
    <row r="191" spans="1:13" outlineLevel="1">
      <c r="A191" s="363"/>
      <c r="B191" s="365"/>
      <c r="C191" s="151" t="str">
        <f t="shared" si="6"/>
        <v/>
      </c>
      <c r="D191" s="115"/>
      <c r="E191" s="142"/>
      <c r="F191" s="142"/>
      <c r="G191" s="142"/>
      <c r="H191" s="142"/>
      <c r="I191" s="142"/>
      <c r="J191" s="142"/>
      <c r="K191" s="142"/>
      <c r="L191" s="142"/>
      <c r="M191" s="115"/>
    </row>
    <row r="192" spans="1:13" ht="15" outlineLevel="1" thickBot="1">
      <c r="A192" s="363"/>
      <c r="B192" s="365"/>
      <c r="C192" s="151" t="str">
        <f t="shared" si="6"/>
        <v>Evolution des surfaces de protéagineux (kha)</v>
      </c>
      <c r="D192" s="115"/>
      <c r="E192" s="634" t="s">
        <v>430</v>
      </c>
      <c r="F192" s="634"/>
      <c r="G192" s="634"/>
      <c r="H192" s="634"/>
      <c r="I192" s="634"/>
      <c r="J192" s="634"/>
      <c r="K192" s="634"/>
      <c r="L192" s="634"/>
      <c r="M192" s="115"/>
    </row>
    <row r="193" spans="1:13" outlineLevel="2">
      <c r="A193" s="363"/>
      <c r="B193" s="365"/>
      <c r="C193" s="151" t="str">
        <f t="shared" si="6"/>
        <v>kha</v>
      </c>
      <c r="D193" s="115"/>
      <c r="E193" s="237" t="s">
        <v>408</v>
      </c>
      <c r="F193" s="238">
        <v>2021</v>
      </c>
      <c r="G193" s="238">
        <v>2025</v>
      </c>
      <c r="H193" s="238">
        <v>2030</v>
      </c>
      <c r="I193" s="238">
        <v>2035</v>
      </c>
      <c r="J193" s="238">
        <v>2040</v>
      </c>
      <c r="K193" s="238">
        <v>2045</v>
      </c>
      <c r="L193" s="239">
        <v>2050</v>
      </c>
      <c r="M193" s="115"/>
    </row>
    <row r="194" spans="1:13" outlineLevel="2">
      <c r="A194" s="363"/>
      <c r="B194" s="365"/>
      <c r="C194" s="151" t="str">
        <f t="shared" si="6"/>
        <v>Total</v>
      </c>
      <c r="D194" s="115"/>
      <c r="E194" s="240" t="s">
        <v>144</v>
      </c>
      <c r="F194" s="583">
        <f>SUM(F195:F200)</f>
        <v>484.53300000000002</v>
      </c>
      <c r="G194" s="584">
        <f t="shared" ref="G194:L194" si="9">SUM(G195:G200)</f>
        <v>737.11204061847923</v>
      </c>
      <c r="H194" s="584">
        <f t="shared" si="9"/>
        <v>1232.8437749826112</v>
      </c>
      <c r="I194" s="584">
        <f t="shared" si="9"/>
        <v>1228.5867990655656</v>
      </c>
      <c r="J194" s="584">
        <f t="shared" si="9"/>
        <v>1224.3298231485198</v>
      </c>
      <c r="K194" s="584">
        <f t="shared" si="9"/>
        <v>1220.072847231474</v>
      </c>
      <c r="L194" s="585">
        <f t="shared" si="9"/>
        <v>1215.8158713144283</v>
      </c>
      <c r="M194" s="115"/>
    </row>
    <row r="195" spans="1:13" outlineLevel="2">
      <c r="A195" s="363"/>
      <c r="B195" s="365"/>
      <c r="C195" s="151" t="str">
        <f t="shared" si="6"/>
        <v>Féveroles et fèves</v>
      </c>
      <c r="D195" s="115"/>
      <c r="E195" s="244" t="s">
        <v>431</v>
      </c>
      <c r="F195" s="483">
        <v>77.995999999999995</v>
      </c>
      <c r="G195" s="484">
        <v>115.00518602362297</v>
      </c>
      <c r="H195" s="484">
        <v>192.8938293963279</v>
      </c>
      <c r="I195" s="484">
        <v>192.19652594592682</v>
      </c>
      <c r="J195" s="484">
        <v>191.49922249552571</v>
      </c>
      <c r="K195" s="484">
        <v>190.80191904512463</v>
      </c>
      <c r="L195" s="496">
        <v>190.10461559472355</v>
      </c>
      <c r="M195" s="115"/>
    </row>
    <row r="196" spans="1:13" outlineLevel="2">
      <c r="A196" s="363"/>
      <c r="B196" s="365"/>
      <c r="C196" s="151" t="str">
        <f t="shared" si="6"/>
        <v>Pois protéagineux</v>
      </c>
      <c r="D196" s="115"/>
      <c r="E196" s="244" t="s">
        <v>432</v>
      </c>
      <c r="F196" s="483">
        <v>194.32599999999999</v>
      </c>
      <c r="G196" s="484">
        <v>275.57670097249752</v>
      </c>
      <c r="H196" s="484">
        <v>512.08953592666001</v>
      </c>
      <c r="I196" s="484">
        <v>510.23835280984667</v>
      </c>
      <c r="J196" s="484">
        <v>508.3871696930334</v>
      </c>
      <c r="K196" s="484">
        <v>506.53598657622007</v>
      </c>
      <c r="L196" s="496">
        <v>504.68480345940674</v>
      </c>
      <c r="M196" s="115"/>
    </row>
    <row r="197" spans="1:13" outlineLevel="2">
      <c r="A197" s="363"/>
      <c r="B197" s="365"/>
      <c r="C197" s="151" t="str">
        <f t="shared" si="6"/>
        <v>Lupin doux</v>
      </c>
      <c r="D197" s="115"/>
      <c r="E197" s="244" t="s">
        <v>433</v>
      </c>
      <c r="F197" s="483">
        <v>6.6849999999999996</v>
      </c>
      <c r="G197" s="484">
        <v>5.24</v>
      </c>
      <c r="H197" s="484">
        <v>5.24</v>
      </c>
      <c r="I197" s="484">
        <v>5.24</v>
      </c>
      <c r="J197" s="484">
        <v>5.24</v>
      </c>
      <c r="K197" s="484">
        <v>5.24</v>
      </c>
      <c r="L197" s="496">
        <v>5.24</v>
      </c>
      <c r="M197" s="115"/>
    </row>
    <row r="198" spans="1:13" outlineLevel="2">
      <c r="A198" s="363"/>
      <c r="B198" s="365"/>
      <c r="C198" s="151" t="str">
        <f t="shared" si="6"/>
        <v>Soja</v>
      </c>
      <c r="D198" s="115"/>
      <c r="E198" s="244" t="s">
        <v>434</v>
      </c>
      <c r="F198" s="483">
        <v>154.38200000000001</v>
      </c>
      <c r="G198" s="484">
        <v>291.28615362235882</v>
      </c>
      <c r="H198" s="484">
        <v>472.61640965962351</v>
      </c>
      <c r="I198" s="484">
        <v>470.90792030979213</v>
      </c>
      <c r="J198" s="484">
        <v>469.19943095996081</v>
      </c>
      <c r="K198" s="484">
        <v>467.49094161012943</v>
      </c>
      <c r="L198" s="496">
        <v>465.78245226029793</v>
      </c>
      <c r="M198" s="115"/>
    </row>
    <row r="199" spans="1:13" outlineLevel="2">
      <c r="A199" s="363"/>
      <c r="B199" s="365"/>
      <c r="C199" s="151" t="str">
        <f t="shared" si="6"/>
        <v>Mélange pois</v>
      </c>
      <c r="D199" s="115"/>
      <c r="E199" s="244" t="s">
        <v>435</v>
      </c>
      <c r="F199" s="483">
        <v>50.65</v>
      </c>
      <c r="G199" s="484">
        <v>49.741999999999997</v>
      </c>
      <c r="H199" s="484">
        <v>49.741999999999997</v>
      </c>
      <c r="I199" s="484">
        <v>49.741999999999997</v>
      </c>
      <c r="J199" s="484">
        <v>49.741999999999997</v>
      </c>
      <c r="K199" s="484">
        <v>49.741999999999997</v>
      </c>
      <c r="L199" s="496">
        <v>49.741999999999997</v>
      </c>
      <c r="M199" s="115"/>
    </row>
    <row r="200" spans="1:13" ht="15" outlineLevel="2" thickBot="1">
      <c r="A200" s="363"/>
      <c r="B200" s="365"/>
      <c r="C200" s="151" t="str">
        <f t="shared" si="6"/>
        <v>Autres protéagineux</v>
      </c>
      <c r="D200" s="115"/>
      <c r="E200" s="247" t="s">
        <v>436</v>
      </c>
      <c r="F200" s="500">
        <v>0.49399999999999999</v>
      </c>
      <c r="G200" s="501">
        <v>0.26200000000000001</v>
      </c>
      <c r="H200" s="501">
        <v>0.26200000000000001</v>
      </c>
      <c r="I200" s="501">
        <v>0.26200000000000001</v>
      </c>
      <c r="J200" s="501">
        <v>0.26200000000000001</v>
      </c>
      <c r="K200" s="501">
        <v>0.26200000000000001</v>
      </c>
      <c r="L200" s="502">
        <v>0.26200000000000001</v>
      </c>
      <c r="M200" s="115"/>
    </row>
    <row r="201" spans="1:13" outlineLevel="2">
      <c r="A201" s="363"/>
      <c r="B201" s="365"/>
      <c r="C201" s="151" t="str">
        <f t="shared" si="6"/>
        <v xml:space="preserve"> Périmètre hexagone</v>
      </c>
      <c r="D201" s="115"/>
      <c r="E201" s="610" t="s">
        <v>967</v>
      </c>
      <c r="F201" s="610"/>
      <c r="G201" s="610"/>
      <c r="H201" s="610"/>
      <c r="I201" s="610"/>
      <c r="J201" s="610"/>
      <c r="K201" s="610"/>
      <c r="L201" s="610"/>
      <c r="M201" s="115"/>
    </row>
    <row r="202" spans="1:13" outlineLevel="1">
      <c r="A202" s="363"/>
      <c r="B202" s="365"/>
      <c r="C202" s="151" t="str">
        <f t="shared" si="6"/>
        <v/>
      </c>
      <c r="D202" s="115"/>
      <c r="E202" s="142"/>
      <c r="F202" s="142"/>
      <c r="G202" s="142"/>
      <c r="H202" s="142"/>
      <c r="I202" s="142"/>
      <c r="J202" s="142"/>
      <c r="K202" s="142"/>
      <c r="L202" s="142"/>
      <c r="M202" s="115"/>
    </row>
    <row r="203" spans="1:13" ht="15" outlineLevel="1" thickBot="1">
      <c r="A203" s="363"/>
      <c r="B203" s="365"/>
      <c r="C203" s="151" t="str">
        <f t="shared" si="6"/>
        <v>Evolution des surfaces des autres grandes cultures (kha)</v>
      </c>
      <c r="D203" s="115"/>
      <c r="E203" s="634" t="s">
        <v>437</v>
      </c>
      <c r="F203" s="634"/>
      <c r="G203" s="634"/>
      <c r="H203" s="634"/>
      <c r="I203" s="634"/>
      <c r="J203" s="634"/>
      <c r="K203" s="634"/>
      <c r="L203" s="634"/>
      <c r="M203" s="115"/>
    </row>
    <row r="204" spans="1:13" outlineLevel="2">
      <c r="A204" s="363"/>
      <c r="B204" s="365"/>
      <c r="C204" s="151" t="str">
        <f t="shared" si="6"/>
        <v>kha</v>
      </c>
      <c r="D204" s="115"/>
      <c r="E204" s="459" t="s">
        <v>408</v>
      </c>
      <c r="F204" s="323">
        <v>2021</v>
      </c>
      <c r="G204" s="323">
        <v>2025</v>
      </c>
      <c r="H204" s="323">
        <v>2030</v>
      </c>
      <c r="I204" s="323">
        <v>2035</v>
      </c>
      <c r="J204" s="323">
        <v>2040</v>
      </c>
      <c r="K204" s="323">
        <v>2045</v>
      </c>
      <c r="L204" s="324">
        <v>2050</v>
      </c>
      <c r="M204" s="115"/>
    </row>
    <row r="205" spans="1:13" outlineLevel="2">
      <c r="A205" s="363"/>
      <c r="B205" s="365"/>
      <c r="C205" s="151" t="str">
        <f t="shared" si="6"/>
        <v>Total</v>
      </c>
      <c r="D205" s="115"/>
      <c r="E205" s="240" t="s">
        <v>144</v>
      </c>
      <c r="F205" s="241">
        <f>SUM(F206:F208)</f>
        <v>635.16300000000001</v>
      </c>
      <c r="G205" s="242">
        <f t="shared" ref="G205:L205" si="10">SUM(G206:G208)</f>
        <v>616.21558289399172</v>
      </c>
      <c r="H205" s="242">
        <f t="shared" si="10"/>
        <v>587.61988771731114</v>
      </c>
      <c r="I205" s="242">
        <f t="shared" si="10"/>
        <v>585.58187858829308</v>
      </c>
      <c r="J205" s="242">
        <f t="shared" si="10"/>
        <v>583.54386945927502</v>
      </c>
      <c r="K205" s="242">
        <f t="shared" si="10"/>
        <v>581.50586033025695</v>
      </c>
      <c r="L205" s="243">
        <f t="shared" si="10"/>
        <v>579.467851201239</v>
      </c>
      <c r="M205" s="115"/>
    </row>
    <row r="206" spans="1:13" ht="28.8" outlineLevel="2">
      <c r="A206" s="363"/>
      <c r="B206" s="365"/>
      <c r="C206" s="151" t="str">
        <f t="shared" si="6"/>
        <v>Choux, racines et tubercules fourragers</v>
      </c>
      <c r="D206" s="115"/>
      <c r="E206" s="590" t="s">
        <v>438</v>
      </c>
      <c r="F206" s="248">
        <v>21.920999999999999</v>
      </c>
      <c r="G206" s="249">
        <v>21.617750000000001</v>
      </c>
      <c r="H206" s="249">
        <v>23.849</v>
      </c>
      <c r="I206" s="249">
        <v>23.849</v>
      </c>
      <c r="J206" s="249">
        <v>23.849</v>
      </c>
      <c r="K206" s="249">
        <v>23.849</v>
      </c>
      <c r="L206" s="250">
        <v>23.849</v>
      </c>
      <c r="M206" s="115"/>
    </row>
    <row r="207" spans="1:13" outlineLevel="2">
      <c r="A207" s="363"/>
      <c r="B207" s="365"/>
      <c r="C207" s="151" t="str">
        <f t="shared" si="6"/>
        <v>Betteraves industrielles</v>
      </c>
      <c r="D207" s="115"/>
      <c r="E207" s="244" t="s">
        <v>439</v>
      </c>
      <c r="F207" s="248">
        <v>401.88299999999998</v>
      </c>
      <c r="G207" s="249">
        <v>390.64532991184734</v>
      </c>
      <c r="H207" s="249">
        <v>372.39421309825951</v>
      </c>
      <c r="I207" s="249">
        <v>371.04802296602213</v>
      </c>
      <c r="J207" s="249">
        <v>369.70183283378475</v>
      </c>
      <c r="K207" s="249">
        <v>368.35564270154737</v>
      </c>
      <c r="L207" s="250">
        <v>367.00945256931004</v>
      </c>
      <c r="M207" s="115"/>
    </row>
    <row r="208" spans="1:13" ht="15" outlineLevel="2" thickBot="1">
      <c r="A208" s="363"/>
      <c r="B208" s="365"/>
      <c r="C208" s="151" t="str">
        <f t="shared" si="6"/>
        <v>Pommes de terre</v>
      </c>
      <c r="D208" s="115"/>
      <c r="E208" s="247" t="s">
        <v>440</v>
      </c>
      <c r="F208" s="251">
        <v>211.35900000000001</v>
      </c>
      <c r="G208" s="252">
        <v>203.95250298214435</v>
      </c>
      <c r="H208" s="252">
        <v>191.37667461905167</v>
      </c>
      <c r="I208" s="252">
        <v>190.68485562227096</v>
      </c>
      <c r="J208" s="252">
        <v>189.9930366254903</v>
      </c>
      <c r="K208" s="252">
        <v>189.30121762870962</v>
      </c>
      <c r="L208" s="253">
        <v>188.60939863192897</v>
      </c>
      <c r="M208" s="115"/>
    </row>
    <row r="209" spans="1:13" outlineLevel="2">
      <c r="A209" s="363"/>
      <c r="B209" s="365"/>
      <c r="C209" s="151" t="str">
        <f t="shared" si="6"/>
        <v xml:space="preserve"> Périmètre hexagone</v>
      </c>
      <c r="D209" s="115"/>
      <c r="E209" s="610" t="s">
        <v>967</v>
      </c>
      <c r="F209" s="610"/>
      <c r="G209" s="610"/>
      <c r="H209" s="610"/>
      <c r="I209" s="610"/>
      <c r="J209" s="610"/>
      <c r="K209" s="610"/>
      <c r="L209" s="610"/>
      <c r="M209" s="115"/>
    </row>
    <row r="210" spans="1:13" outlineLevel="1">
      <c r="A210" s="363"/>
      <c r="B210" s="365"/>
      <c r="C210" s="151" t="str">
        <f t="shared" si="6"/>
        <v/>
      </c>
      <c r="D210" s="115"/>
      <c r="E210" s="142"/>
      <c r="F210" s="142"/>
      <c r="G210" s="142"/>
      <c r="H210" s="142"/>
      <c r="I210" s="142"/>
      <c r="J210" s="142"/>
      <c r="K210" s="142"/>
      <c r="L210" s="142"/>
      <c r="M210" s="115"/>
    </row>
    <row r="211" spans="1:13" ht="15" outlineLevel="1" thickBot="1">
      <c r="A211" s="363"/>
      <c r="B211" s="365"/>
      <c r="C211" s="151" t="str">
        <f t="shared" si="6"/>
        <v>Evolution des surfaces de fourrage (kha)</v>
      </c>
      <c r="D211" s="115"/>
      <c r="E211" s="634" t="s">
        <v>441</v>
      </c>
      <c r="F211" s="634"/>
      <c r="G211" s="634"/>
      <c r="H211" s="634"/>
      <c r="I211" s="634"/>
      <c r="J211" s="634"/>
      <c r="K211" s="634"/>
      <c r="L211" s="634"/>
      <c r="M211" s="115"/>
    </row>
    <row r="212" spans="1:13" outlineLevel="2">
      <c r="A212" s="363"/>
      <c r="B212" s="365"/>
      <c r="C212" s="151" t="str">
        <f t="shared" si="6"/>
        <v>kha</v>
      </c>
      <c r="D212" s="115"/>
      <c r="E212" s="459" t="s">
        <v>408</v>
      </c>
      <c r="F212" s="323">
        <v>2021</v>
      </c>
      <c r="G212" s="323">
        <v>2025</v>
      </c>
      <c r="H212" s="323">
        <v>2030</v>
      </c>
      <c r="I212" s="323">
        <v>2035</v>
      </c>
      <c r="J212" s="323">
        <v>2040</v>
      </c>
      <c r="K212" s="323">
        <v>2045</v>
      </c>
      <c r="L212" s="324">
        <v>2050</v>
      </c>
      <c r="M212" s="115"/>
    </row>
    <row r="213" spans="1:13" outlineLevel="2">
      <c r="A213" s="363"/>
      <c r="B213" s="365"/>
      <c r="C213" s="151" t="str">
        <f t="shared" si="6"/>
        <v>Total</v>
      </c>
      <c r="D213" s="115"/>
      <c r="E213" s="240" t="s">
        <v>144</v>
      </c>
      <c r="F213" s="583">
        <f>SUM(F214:F215)</f>
        <v>1720.8494841584161</v>
      </c>
      <c r="G213" s="584">
        <f>SUM(G214:G215)</f>
        <v>1704.3627522461832</v>
      </c>
      <c r="H213" s="584">
        <f t="shared" ref="H213:L213" si="11">SUM(H214:H215)</f>
        <v>1675.4657254617707</v>
      </c>
      <c r="I213" s="584">
        <f t="shared" si="11"/>
        <v>1600.1790316870092</v>
      </c>
      <c r="J213" s="584">
        <f t="shared" si="11"/>
        <v>1524.8923379122477</v>
      </c>
      <c r="K213" s="584">
        <f t="shared" si="11"/>
        <v>1449.6056441374865</v>
      </c>
      <c r="L213" s="585">
        <f t="shared" si="11"/>
        <v>1374.3189503627254</v>
      </c>
      <c r="M213" s="115"/>
    </row>
    <row r="214" spans="1:13" ht="28.8" outlineLevel="2">
      <c r="A214" s="363"/>
      <c r="B214" s="365"/>
      <c r="C214" s="151" t="str">
        <f t="shared" si="6"/>
        <v>Maïs fourrage et ensilage (plante entière)</v>
      </c>
      <c r="D214" s="115"/>
      <c r="E214" s="590" t="s">
        <v>442</v>
      </c>
      <c r="F214" s="483">
        <v>1419.48936980198</v>
      </c>
      <c r="G214" s="484">
        <v>1425.2922488983056</v>
      </c>
      <c r="H214" s="484">
        <v>1433.7930977222156</v>
      </c>
      <c r="I214" s="484">
        <v>1364.3799623298373</v>
      </c>
      <c r="J214" s="484">
        <v>1294.966826937459</v>
      </c>
      <c r="K214" s="484">
        <v>1225.5536915450809</v>
      </c>
      <c r="L214" s="496">
        <v>1156.1405561527031</v>
      </c>
      <c r="M214" s="115"/>
    </row>
    <row r="215" spans="1:13" ht="15" outlineLevel="2" thickBot="1">
      <c r="A215" s="363"/>
      <c r="B215" s="365"/>
      <c r="C215" s="151" t="str">
        <f t="shared" si="6"/>
        <v>Autres fourrages</v>
      </c>
      <c r="D215" s="115"/>
      <c r="E215" s="247" t="s">
        <v>443</v>
      </c>
      <c r="F215" s="500">
        <v>301.36011435643599</v>
      </c>
      <c r="G215" s="501">
        <v>279.07050334787755</v>
      </c>
      <c r="H215" s="501">
        <v>241.67262773955508</v>
      </c>
      <c r="I215" s="501">
        <v>235.79906935717187</v>
      </c>
      <c r="J215" s="501">
        <v>229.92551097478869</v>
      </c>
      <c r="K215" s="501">
        <v>224.05195259240551</v>
      </c>
      <c r="L215" s="502">
        <v>218.17839421002239</v>
      </c>
      <c r="M215" s="115"/>
    </row>
    <row r="216" spans="1:13" outlineLevel="2">
      <c r="A216" s="363"/>
      <c r="B216" s="365"/>
      <c r="C216" s="151" t="str">
        <f t="shared" si="6"/>
        <v xml:space="preserve"> Périmètre hexagone</v>
      </c>
      <c r="D216" s="115"/>
      <c r="E216" s="610" t="s">
        <v>967</v>
      </c>
      <c r="F216" s="610"/>
      <c r="G216" s="610"/>
      <c r="H216" s="610"/>
      <c r="I216" s="610"/>
      <c r="J216" s="610"/>
      <c r="K216" s="610"/>
      <c r="L216" s="610"/>
      <c r="M216" s="115"/>
    </row>
    <row r="217" spans="1:13" outlineLevel="1">
      <c r="A217" s="363"/>
      <c r="B217" s="365"/>
      <c r="C217" s="151" t="str">
        <f t="shared" si="6"/>
        <v/>
      </c>
      <c r="D217" s="115"/>
      <c r="E217" s="142"/>
      <c r="F217" s="142"/>
      <c r="G217" s="142"/>
      <c r="H217" s="142"/>
      <c r="I217" s="142"/>
      <c r="J217" s="142"/>
      <c r="K217" s="142"/>
      <c r="L217" s="142"/>
      <c r="M217" s="115"/>
    </row>
    <row r="218" spans="1:13" ht="15" outlineLevel="1" thickBot="1">
      <c r="A218" s="363"/>
      <c r="B218" s="365"/>
      <c r="C218" s="151" t="str">
        <f t="shared" si="6"/>
        <v>Evolution des surfaces de prairies artificielles (kha)</v>
      </c>
      <c r="D218" s="115"/>
      <c r="E218" s="634" t="s">
        <v>444</v>
      </c>
      <c r="F218" s="634"/>
      <c r="G218" s="634"/>
      <c r="H218" s="634"/>
      <c r="I218" s="634"/>
      <c r="J218" s="634"/>
      <c r="K218" s="634"/>
      <c r="L218" s="634"/>
      <c r="M218" s="115"/>
    </row>
    <row r="219" spans="1:13" outlineLevel="2">
      <c r="A219" s="363"/>
      <c r="B219" s="365"/>
      <c r="C219" s="151" t="str">
        <f t="shared" si="6"/>
        <v>kha</v>
      </c>
      <c r="D219" s="115"/>
      <c r="E219" s="459" t="s">
        <v>408</v>
      </c>
      <c r="F219" s="323">
        <v>2021</v>
      </c>
      <c r="G219" s="323">
        <v>2025</v>
      </c>
      <c r="H219" s="323">
        <v>2030</v>
      </c>
      <c r="I219" s="323">
        <v>2035</v>
      </c>
      <c r="J219" s="323">
        <v>2040</v>
      </c>
      <c r="K219" s="323">
        <v>2045</v>
      </c>
      <c r="L219" s="324">
        <v>2050</v>
      </c>
      <c r="M219" s="115"/>
    </row>
    <row r="220" spans="1:13" ht="15" outlineLevel="2" thickBot="1">
      <c r="A220" s="363"/>
      <c r="B220" s="365"/>
      <c r="C220" s="151" t="str">
        <f t="shared" si="6"/>
        <v>Surfaces de prairies artificielles</v>
      </c>
      <c r="D220" s="115"/>
      <c r="E220" s="247" t="s">
        <v>445</v>
      </c>
      <c r="F220" s="251">
        <v>508.62466980198002</v>
      </c>
      <c r="G220" s="252">
        <v>580.76073618094279</v>
      </c>
      <c r="H220" s="252">
        <v>700.56806380924729</v>
      </c>
      <c r="I220" s="252">
        <v>698.03553837977233</v>
      </c>
      <c r="J220" s="252">
        <v>695.50301295029749</v>
      </c>
      <c r="K220" s="252">
        <v>692.97048752082253</v>
      </c>
      <c r="L220" s="253">
        <v>690.43796209134769</v>
      </c>
      <c r="M220" s="115"/>
    </row>
    <row r="221" spans="1:13" outlineLevel="2">
      <c r="A221" s="363"/>
      <c r="B221" s="365"/>
      <c r="C221" s="151" t="str">
        <f t="shared" si="6"/>
        <v xml:space="preserve"> Périmètre hexagone</v>
      </c>
      <c r="D221" s="115"/>
      <c r="E221" s="610" t="s">
        <v>967</v>
      </c>
      <c r="F221" s="610"/>
      <c r="G221" s="610"/>
      <c r="H221" s="610"/>
      <c r="I221" s="610"/>
      <c r="J221" s="610"/>
      <c r="K221" s="610"/>
      <c r="L221" s="610"/>
      <c r="M221" s="115"/>
    </row>
    <row r="222" spans="1:13" outlineLevel="1">
      <c r="A222" s="363"/>
      <c r="B222" s="365"/>
      <c r="C222" s="151" t="str">
        <f t="shared" ref="C222:C351" si="12">IF(ISBLANK(E222),IF(ISBLANK(F222),"",F222),E222)</f>
        <v/>
      </c>
      <c r="D222" s="115"/>
      <c r="E222" s="142"/>
      <c r="F222" s="142"/>
      <c r="G222" s="142"/>
      <c r="H222" s="142"/>
      <c r="I222" s="142"/>
      <c r="J222" s="142"/>
      <c r="K222" s="142"/>
      <c r="L222" s="142"/>
      <c r="M222" s="115"/>
    </row>
    <row r="223" spans="1:13" ht="15" outlineLevel="1" thickBot="1">
      <c r="A223" s="363"/>
      <c r="B223" s="365"/>
      <c r="C223" s="151" t="str">
        <f t="shared" si="12"/>
        <v>Evolution des surfaces de prairies temporaires (kha)</v>
      </c>
      <c r="D223" s="115"/>
      <c r="E223" s="634" t="s">
        <v>446</v>
      </c>
      <c r="F223" s="634"/>
      <c r="G223" s="634"/>
      <c r="H223" s="634"/>
      <c r="I223" s="634"/>
      <c r="J223" s="634"/>
      <c r="K223" s="634"/>
      <c r="L223" s="634"/>
      <c r="M223" s="115"/>
    </row>
    <row r="224" spans="1:13" outlineLevel="2">
      <c r="A224" s="363"/>
      <c r="B224" s="365"/>
      <c r="C224" s="151" t="str">
        <f t="shared" si="12"/>
        <v>kha</v>
      </c>
      <c r="D224" s="115"/>
      <c r="E224" s="459" t="s">
        <v>408</v>
      </c>
      <c r="F224" s="323">
        <v>2021</v>
      </c>
      <c r="G224" s="323">
        <v>2025</v>
      </c>
      <c r="H224" s="323">
        <v>2030</v>
      </c>
      <c r="I224" s="323">
        <v>2035</v>
      </c>
      <c r="J224" s="323">
        <v>2040</v>
      </c>
      <c r="K224" s="323">
        <v>2045</v>
      </c>
      <c r="L224" s="324">
        <v>2050</v>
      </c>
      <c r="M224" s="115"/>
    </row>
    <row r="225" spans="1:13" ht="15" outlineLevel="2" thickBot="1">
      <c r="A225" s="363"/>
      <c r="B225" s="365"/>
      <c r="C225" s="151" t="str">
        <f t="shared" si="12"/>
        <v>Surfaces de prairies temporaires</v>
      </c>
      <c r="D225" s="115"/>
      <c r="E225" s="247" t="s">
        <v>447</v>
      </c>
      <c r="F225" s="251">
        <v>2650.3924262376199</v>
      </c>
      <c r="G225" s="252">
        <v>2524.3301061315569</v>
      </c>
      <c r="H225" s="252">
        <v>2312.0405288920688</v>
      </c>
      <c r="I225" s="252">
        <v>2123.7924272337782</v>
      </c>
      <c r="J225" s="252">
        <v>1935.5443255754881</v>
      </c>
      <c r="K225" s="252">
        <v>1747.2962239171979</v>
      </c>
      <c r="L225" s="253">
        <v>1559.0481222589071</v>
      </c>
      <c r="M225" s="115"/>
    </row>
    <row r="226" spans="1:13" outlineLevel="2">
      <c r="A226" s="363"/>
      <c r="B226" s="365"/>
      <c r="C226" s="151" t="str">
        <f t="shared" si="12"/>
        <v xml:space="preserve"> Périmètre hexagone</v>
      </c>
      <c r="D226" s="115"/>
      <c r="E226" s="610" t="s">
        <v>967</v>
      </c>
      <c r="F226" s="610"/>
      <c r="G226" s="610"/>
      <c r="H226" s="610"/>
      <c r="I226" s="610"/>
      <c r="J226" s="610"/>
      <c r="K226" s="610"/>
      <c r="L226" s="610"/>
      <c r="M226" s="115"/>
    </row>
    <row r="227" spans="1:13" outlineLevel="1">
      <c r="A227" s="363"/>
      <c r="B227" s="365"/>
      <c r="C227" s="151" t="str">
        <f t="shared" si="12"/>
        <v/>
      </c>
      <c r="D227" s="115"/>
      <c r="E227" s="142"/>
      <c r="F227" s="142"/>
      <c r="G227" s="142"/>
      <c r="H227" s="142"/>
      <c r="I227" s="142"/>
      <c r="J227" s="142"/>
      <c r="K227" s="142"/>
      <c r="L227" s="142"/>
      <c r="M227" s="115"/>
    </row>
    <row r="228" spans="1:13" ht="15" outlineLevel="1" thickBot="1">
      <c r="A228" s="363"/>
      <c r="B228" s="365"/>
      <c r="C228" s="151" t="str">
        <f t="shared" si="12"/>
        <v>Evolution des surfaces de prairies permanentes (kha)</v>
      </c>
      <c r="D228" s="115"/>
      <c r="E228" s="634" t="s">
        <v>448</v>
      </c>
      <c r="F228" s="634"/>
      <c r="G228" s="634"/>
      <c r="H228" s="634"/>
      <c r="I228" s="634"/>
      <c r="J228" s="634"/>
      <c r="K228" s="634"/>
      <c r="L228" s="634"/>
      <c r="M228" s="115"/>
    </row>
    <row r="229" spans="1:13" outlineLevel="2">
      <c r="A229" s="363"/>
      <c r="B229" s="365"/>
      <c r="C229" s="151" t="str">
        <f t="shared" si="12"/>
        <v>kha</v>
      </c>
      <c r="D229" s="115"/>
      <c r="E229" s="459" t="s">
        <v>408</v>
      </c>
      <c r="F229" s="323">
        <v>2021</v>
      </c>
      <c r="G229" s="323">
        <v>2025</v>
      </c>
      <c r="H229" s="323">
        <v>2030</v>
      </c>
      <c r="I229" s="323">
        <v>2035</v>
      </c>
      <c r="J229" s="323">
        <v>2040</v>
      </c>
      <c r="K229" s="323">
        <v>2045</v>
      </c>
      <c r="L229" s="324">
        <v>2050</v>
      </c>
      <c r="M229" s="115"/>
    </row>
    <row r="230" spans="1:13" outlineLevel="2">
      <c r="A230" s="363"/>
      <c r="B230" s="365"/>
      <c r="C230" s="151" t="str">
        <f t="shared" si="12"/>
        <v>Total</v>
      </c>
      <c r="D230" s="115"/>
      <c r="E230" s="240" t="s">
        <v>144</v>
      </c>
      <c r="F230" s="583">
        <f>SUM(F231:F232)</f>
        <v>9588.6655153465399</v>
      </c>
      <c r="G230" s="584">
        <f t="shared" ref="G230:L230" si="13">SUM(G231:G232)</f>
        <v>9362.5309459079581</v>
      </c>
      <c r="H230" s="584">
        <f t="shared" si="13"/>
        <v>8977.7324712661084</v>
      </c>
      <c r="I230" s="584">
        <f t="shared" si="13"/>
        <v>8737.6581866042579</v>
      </c>
      <c r="J230" s="584">
        <f t="shared" si="13"/>
        <v>8497.5839019424056</v>
      </c>
      <c r="K230" s="584">
        <f t="shared" si="13"/>
        <v>8257.5096172805552</v>
      </c>
      <c r="L230" s="585">
        <f t="shared" si="13"/>
        <v>8017.4353326187029</v>
      </c>
      <c r="M230" s="115"/>
    </row>
    <row r="231" spans="1:13" ht="28.8" outlineLevel="2">
      <c r="A231" s="363"/>
      <c r="B231" s="365"/>
      <c r="C231" s="151" t="str">
        <f t="shared" si="12"/>
        <v>Prairies naturelles ou semées depuis plus de 6 ans</v>
      </c>
      <c r="D231" s="115"/>
      <c r="E231" s="591" t="s">
        <v>1069</v>
      </c>
      <c r="F231" s="483">
        <v>7156.34899405941</v>
      </c>
      <c r="G231" s="484">
        <v>7154.7863293053697</v>
      </c>
      <c r="H231" s="484">
        <v>7146.280231282969</v>
      </c>
      <c r="I231" s="484">
        <v>6952.9981554622273</v>
      </c>
      <c r="J231" s="484">
        <v>6759.7160796414846</v>
      </c>
      <c r="K231" s="484">
        <v>6566.4340038207429</v>
      </c>
      <c r="L231" s="496">
        <v>6373.1519280000002</v>
      </c>
      <c r="M231" s="115"/>
    </row>
    <row r="232" spans="1:13" ht="29.4" outlineLevel="2" thickBot="1">
      <c r="A232" s="363"/>
      <c r="B232" s="365"/>
      <c r="C232" s="151" t="str">
        <f t="shared" si="12"/>
        <v>STH peu productives (parcours, landes, alpages)</v>
      </c>
      <c r="D232" s="115"/>
      <c r="E232" s="592" t="s">
        <v>1070</v>
      </c>
      <c r="F232" s="500">
        <v>2432.3165212871304</v>
      </c>
      <c r="G232" s="501">
        <v>2207.7446166025893</v>
      </c>
      <c r="H232" s="501">
        <v>1831.4522399831387</v>
      </c>
      <c r="I232" s="501">
        <v>1784.6600311420298</v>
      </c>
      <c r="J232" s="501">
        <v>1737.8678223009208</v>
      </c>
      <c r="K232" s="501">
        <v>1691.0756134598116</v>
      </c>
      <c r="L232" s="502">
        <v>1644.2834046187024</v>
      </c>
      <c r="M232" s="115"/>
    </row>
    <row r="233" spans="1:13" outlineLevel="2">
      <c r="A233" s="363"/>
      <c r="B233" s="365"/>
      <c r="C233" s="151" t="str">
        <f t="shared" si="12"/>
        <v xml:space="preserve"> Périmètre hexagone</v>
      </c>
      <c r="D233" s="115"/>
      <c r="E233" s="610" t="s">
        <v>967</v>
      </c>
      <c r="F233" s="610"/>
      <c r="G233" s="610"/>
      <c r="H233" s="610"/>
      <c r="I233" s="610"/>
      <c r="J233" s="610"/>
      <c r="K233" s="610"/>
      <c r="L233" s="610"/>
      <c r="M233" s="115"/>
    </row>
    <row r="234" spans="1:13" outlineLevel="1">
      <c r="A234" s="363"/>
      <c r="B234" s="365"/>
      <c r="C234" s="151" t="str">
        <f t="shared" si="12"/>
        <v/>
      </c>
      <c r="D234" s="115"/>
      <c r="E234" s="142"/>
      <c r="F234" s="142"/>
      <c r="G234" s="142"/>
      <c r="H234" s="142"/>
      <c r="I234" s="142"/>
      <c r="J234" s="142"/>
      <c r="K234" s="142"/>
      <c r="L234" s="142"/>
      <c r="M234" s="115"/>
    </row>
    <row r="235" spans="1:13" s="399" customFormat="1" ht="15" outlineLevel="1" thickBot="1">
      <c r="A235" s="363"/>
      <c r="B235" s="365"/>
      <c r="C235" s="151"/>
      <c r="D235" s="115"/>
      <c r="E235" s="634" t="s">
        <v>1018</v>
      </c>
      <c r="F235" s="634"/>
      <c r="G235" s="634"/>
      <c r="H235" s="634"/>
      <c r="I235" s="634"/>
      <c r="J235" s="634"/>
      <c r="K235" s="634"/>
      <c r="L235" s="634"/>
      <c r="M235" s="115"/>
    </row>
    <row r="236" spans="1:13" s="399" customFormat="1" outlineLevel="2">
      <c r="A236" s="363"/>
      <c r="B236" s="365"/>
      <c r="C236" s="151"/>
      <c r="D236" s="115"/>
      <c r="E236" s="459" t="s">
        <v>408</v>
      </c>
      <c r="F236" s="323">
        <v>2020</v>
      </c>
      <c r="G236" s="323">
        <v>2025</v>
      </c>
      <c r="H236" s="323">
        <v>2030</v>
      </c>
      <c r="I236" s="323">
        <v>2035</v>
      </c>
      <c r="J236" s="323">
        <v>2040</v>
      </c>
      <c r="K236" s="323">
        <v>2045</v>
      </c>
      <c r="L236" s="324">
        <v>2050</v>
      </c>
      <c r="M236" s="115"/>
    </row>
    <row r="237" spans="1:13" s="399" customFormat="1" outlineLevel="2">
      <c r="A237" s="363"/>
      <c r="B237" s="365"/>
      <c r="C237" s="151"/>
      <c r="D237" s="115"/>
      <c r="E237" s="240" t="s">
        <v>144</v>
      </c>
      <c r="F237" s="583">
        <v>2976.5187799999999</v>
      </c>
      <c r="G237" s="584"/>
      <c r="H237" s="584">
        <v>3468.7123357196233</v>
      </c>
      <c r="I237" s="584"/>
      <c r="J237" s="584"/>
      <c r="K237" s="584"/>
      <c r="L237" s="585">
        <v>3540.7411933501148</v>
      </c>
      <c r="M237" s="115"/>
    </row>
    <row r="238" spans="1:13" s="399" customFormat="1" ht="28.8" outlineLevel="2">
      <c r="A238" s="363"/>
      <c r="B238" s="365"/>
      <c r="C238" s="151"/>
      <c r="D238" s="115"/>
      <c r="E238" s="590" t="s">
        <v>1021</v>
      </c>
      <c r="F238" s="483">
        <v>119.4506365</v>
      </c>
      <c r="G238" s="484"/>
      <c r="H238" s="484">
        <f>7%*H237</f>
        <v>242.80986350037367</v>
      </c>
      <c r="I238" s="484"/>
      <c r="J238" s="484"/>
      <c r="K238" s="484"/>
      <c r="L238" s="496">
        <f>10%*L237</f>
        <v>354.07411933501152</v>
      </c>
      <c r="M238" s="115"/>
    </row>
    <row r="239" spans="1:13" s="399" customFormat="1" ht="28.8" outlineLevel="2">
      <c r="A239" s="363"/>
      <c r="B239" s="365"/>
      <c r="C239" s="151"/>
      <c r="D239" s="115"/>
      <c r="E239" s="590" t="s">
        <v>1019</v>
      </c>
      <c r="F239" s="586">
        <f>F237-F238-F240</f>
        <v>1893.0681434999997</v>
      </c>
      <c r="G239" s="587"/>
      <c r="H239" s="484">
        <f>H237-H238-H240</f>
        <v>2006.7117051136324</v>
      </c>
      <c r="I239" s="587"/>
      <c r="J239" s="587"/>
      <c r="K239" s="587"/>
      <c r="L239" s="496">
        <f>L237-L238-L240</f>
        <v>1770.3705966750574</v>
      </c>
      <c r="M239" s="115"/>
    </row>
    <row r="240" spans="1:13" s="399" customFormat="1" ht="15" outlineLevel="2" thickBot="1">
      <c r="A240" s="363"/>
      <c r="B240" s="365"/>
      <c r="C240" s="151"/>
      <c r="D240" s="115"/>
      <c r="E240" s="247" t="s">
        <v>1020</v>
      </c>
      <c r="F240" s="500">
        <v>964</v>
      </c>
      <c r="G240" s="501"/>
      <c r="H240" s="501">
        <f>0.351482235799955*H237</f>
        <v>1219.1907671056174</v>
      </c>
      <c r="I240" s="501"/>
      <c r="J240" s="501"/>
      <c r="K240" s="501"/>
      <c r="L240" s="502">
        <f>40%*L237</f>
        <v>1416.2964773400461</v>
      </c>
      <c r="M240" s="115"/>
    </row>
    <row r="241" spans="1:13" s="399" customFormat="1" outlineLevel="2">
      <c r="A241" s="363"/>
      <c r="B241" s="365"/>
      <c r="C241" s="151"/>
      <c r="D241" s="115"/>
      <c r="E241" s="610" t="s">
        <v>967</v>
      </c>
      <c r="F241" s="610"/>
      <c r="G241" s="610"/>
      <c r="H241" s="610"/>
      <c r="I241" s="610"/>
      <c r="J241" s="610"/>
      <c r="K241" s="610"/>
      <c r="L241" s="610"/>
      <c r="M241" s="115"/>
    </row>
    <row r="242" spans="1:13" s="399" customFormat="1" outlineLevel="1">
      <c r="A242" s="363"/>
      <c r="B242" s="365"/>
      <c r="C242" s="151"/>
      <c r="D242" s="115"/>
      <c r="E242" s="508"/>
      <c r="F242" s="508"/>
      <c r="G242" s="508"/>
      <c r="H242" s="508"/>
      <c r="I242" s="508"/>
      <c r="J242" s="508"/>
      <c r="K242" s="508"/>
      <c r="L242" s="508"/>
      <c r="M242" s="115"/>
    </row>
    <row r="243" spans="1:13" s="399" customFormat="1" ht="15" outlineLevel="1" thickBot="1">
      <c r="A243" s="363"/>
      <c r="B243" s="365"/>
      <c r="C243" s="151"/>
      <c r="D243" s="115"/>
      <c r="E243" s="634" t="s">
        <v>1015</v>
      </c>
      <c r="F243" s="634"/>
      <c r="G243" s="634"/>
      <c r="H243" s="634"/>
      <c r="I243" s="634"/>
      <c r="J243" s="634"/>
      <c r="K243" s="634"/>
      <c r="L243" s="634"/>
      <c r="M243" s="115"/>
    </row>
    <row r="244" spans="1:13" s="399" customFormat="1" outlineLevel="2">
      <c r="A244" s="363"/>
      <c r="B244" s="365"/>
      <c r="C244" s="151"/>
      <c r="D244" s="115"/>
      <c r="E244" s="459" t="s">
        <v>121</v>
      </c>
      <c r="F244" s="323">
        <v>2020</v>
      </c>
      <c r="G244" s="323">
        <v>2025</v>
      </c>
      <c r="H244" s="323">
        <v>2030</v>
      </c>
      <c r="I244" s="323">
        <v>2035</v>
      </c>
      <c r="J244" s="323">
        <v>2040</v>
      </c>
      <c r="K244" s="323">
        <v>2045</v>
      </c>
      <c r="L244" s="324">
        <v>2050</v>
      </c>
      <c r="M244" s="115"/>
    </row>
    <row r="245" spans="1:13" s="399" customFormat="1" outlineLevel="2">
      <c r="A245" s="363"/>
      <c r="B245" s="365"/>
      <c r="C245" s="151"/>
      <c r="D245" s="115"/>
      <c r="E245" s="244" t="s">
        <v>1014</v>
      </c>
      <c r="F245" s="180">
        <v>0.06</v>
      </c>
      <c r="G245" s="181"/>
      <c r="H245" s="181">
        <v>0.18</v>
      </c>
      <c r="I245" s="181"/>
      <c r="J245" s="181"/>
      <c r="K245" s="181"/>
      <c r="L245" s="409">
        <v>0.18</v>
      </c>
      <c r="M245" s="115"/>
    </row>
    <row r="246" spans="1:13" s="399" customFormat="1" outlineLevel="2">
      <c r="A246" s="363"/>
      <c r="B246" s="365"/>
      <c r="C246" s="151"/>
      <c r="D246" s="115"/>
      <c r="E246" s="244" t="s">
        <v>1016</v>
      </c>
      <c r="F246" s="180">
        <v>0.02</v>
      </c>
      <c r="G246" s="181"/>
      <c r="H246" s="181">
        <v>0.04</v>
      </c>
      <c r="I246" s="181"/>
      <c r="J246" s="181"/>
      <c r="K246" s="181"/>
      <c r="L246" s="409">
        <v>0.1</v>
      </c>
      <c r="M246" s="115"/>
    </row>
    <row r="247" spans="1:13" s="399" customFormat="1" ht="15" outlineLevel="2" thickBot="1">
      <c r="A247" s="363"/>
      <c r="B247" s="365"/>
      <c r="C247" s="151"/>
      <c r="D247" s="115"/>
      <c r="E247" s="247" t="s">
        <v>1017</v>
      </c>
      <c r="F247" s="503">
        <v>0.05</v>
      </c>
      <c r="G247" s="493"/>
      <c r="H247" s="493">
        <v>7.0000000000000007E-2</v>
      </c>
      <c r="I247" s="493"/>
      <c r="J247" s="493"/>
      <c r="K247" s="493"/>
      <c r="L247" s="504">
        <v>0.1</v>
      </c>
      <c r="M247" s="115"/>
    </row>
    <row r="248" spans="1:13" s="399" customFormat="1" outlineLevel="2">
      <c r="A248" s="363"/>
      <c r="B248" s="365"/>
      <c r="C248" s="151"/>
      <c r="D248" s="115"/>
      <c r="E248" s="610" t="s">
        <v>967</v>
      </c>
      <c r="F248" s="610"/>
      <c r="G248" s="610"/>
      <c r="H248" s="610"/>
      <c r="I248" s="610"/>
      <c r="J248" s="610"/>
      <c r="K248" s="610"/>
      <c r="L248" s="610"/>
      <c r="M248" s="115"/>
    </row>
    <row r="249" spans="1:13" s="399" customFormat="1" outlineLevel="1">
      <c r="A249" s="363"/>
      <c r="B249" s="365"/>
      <c r="C249" s="151"/>
      <c r="D249" s="115"/>
      <c r="E249" s="508"/>
      <c r="F249" s="508"/>
      <c r="G249" s="508"/>
      <c r="H249" s="508"/>
      <c r="I249" s="508"/>
      <c r="J249" s="508"/>
      <c r="K249" s="508"/>
      <c r="L249" s="508"/>
      <c r="M249" s="115"/>
    </row>
    <row r="250" spans="1:13" s="399" customFormat="1" ht="15" outlineLevel="1" thickBot="1">
      <c r="A250" s="363"/>
      <c r="B250" s="365"/>
      <c r="C250" s="151"/>
      <c r="D250" s="115"/>
      <c r="E250" s="634" t="s">
        <v>1022</v>
      </c>
      <c r="F250" s="634"/>
      <c r="G250" s="634"/>
      <c r="H250" s="634"/>
      <c r="I250" s="634"/>
      <c r="J250" s="634"/>
      <c r="K250" s="634"/>
      <c r="L250" s="634"/>
      <c r="M250" s="115"/>
    </row>
    <row r="251" spans="1:13" s="399" customFormat="1" hidden="1" outlineLevel="2">
      <c r="A251" s="363"/>
      <c r="B251" s="365"/>
      <c r="C251" s="151"/>
      <c r="D251" s="115"/>
      <c r="E251" s="459" t="s">
        <v>1023</v>
      </c>
      <c r="F251" s="323">
        <v>2020</v>
      </c>
      <c r="G251" s="323">
        <v>2025</v>
      </c>
      <c r="H251" s="323">
        <v>2030</v>
      </c>
      <c r="I251" s="323">
        <v>2035</v>
      </c>
      <c r="J251" s="323">
        <v>2040</v>
      </c>
      <c r="K251" s="323">
        <v>2045</v>
      </c>
      <c r="L251" s="324">
        <v>2050</v>
      </c>
      <c r="M251" s="115"/>
    </row>
    <row r="252" spans="1:13" s="399" customFormat="1" ht="15" hidden="1" outlineLevel="2" thickBot="1">
      <c r="A252" s="363"/>
      <c r="B252" s="365"/>
      <c r="C252" s="151"/>
      <c r="D252" s="115"/>
      <c r="E252" s="247" t="s">
        <v>447</v>
      </c>
      <c r="F252" s="251">
        <v>734.19179600000007</v>
      </c>
      <c r="G252" s="252"/>
      <c r="H252" s="252">
        <v>741.49610185340566</v>
      </c>
      <c r="I252" s="252"/>
      <c r="J252" s="252"/>
      <c r="K252" s="252"/>
      <c r="L252" s="253">
        <v>741.49610185340566</v>
      </c>
      <c r="M252" s="115"/>
    </row>
    <row r="253" spans="1:13" s="399" customFormat="1" hidden="1" outlineLevel="2">
      <c r="A253" s="363"/>
      <c r="B253" s="365"/>
      <c r="C253" s="151"/>
      <c r="D253" s="115"/>
      <c r="E253" s="610" t="s">
        <v>967</v>
      </c>
      <c r="F253" s="610"/>
      <c r="G253" s="610"/>
      <c r="H253" s="610"/>
      <c r="I253" s="610"/>
      <c r="J253" s="610"/>
      <c r="K253" s="610"/>
      <c r="L253" s="610"/>
      <c r="M253" s="115"/>
    </row>
    <row r="254" spans="1:13" s="399" customFormat="1" outlineLevel="1" collapsed="1">
      <c r="A254" s="363"/>
      <c r="B254" s="365"/>
      <c r="C254" s="151"/>
      <c r="D254" s="115"/>
      <c r="E254" s="508"/>
      <c r="F254" s="508"/>
      <c r="G254" s="508"/>
      <c r="H254" s="508"/>
      <c r="I254" s="508"/>
      <c r="J254" s="508"/>
      <c r="K254" s="508"/>
      <c r="L254" s="508"/>
      <c r="M254" s="115"/>
    </row>
    <row r="255" spans="1:13" s="399" customFormat="1" ht="15" outlineLevel="1" thickBot="1">
      <c r="A255" s="363"/>
      <c r="B255" s="365"/>
      <c r="C255" s="151"/>
      <c r="D255" s="115"/>
      <c r="E255" s="634" t="s">
        <v>1025</v>
      </c>
      <c r="F255" s="634"/>
      <c r="G255" s="634"/>
      <c r="H255" s="634"/>
      <c r="I255" s="634"/>
      <c r="J255" s="634"/>
      <c r="K255" s="634"/>
      <c r="L255" s="634"/>
      <c r="M255" s="115"/>
    </row>
    <row r="256" spans="1:13" s="399" customFormat="1" outlineLevel="2">
      <c r="A256" s="363"/>
      <c r="B256" s="365"/>
      <c r="C256" s="151"/>
      <c r="D256" s="115"/>
      <c r="E256" s="459" t="s">
        <v>1024</v>
      </c>
      <c r="F256" s="323">
        <v>2020</v>
      </c>
      <c r="G256" s="323">
        <v>2025</v>
      </c>
      <c r="H256" s="323">
        <v>2030</v>
      </c>
      <c r="I256" s="323">
        <v>2035</v>
      </c>
      <c r="J256" s="323">
        <v>2040</v>
      </c>
      <c r="K256" s="323">
        <v>2045</v>
      </c>
      <c r="L256" s="324">
        <v>2050</v>
      </c>
      <c r="M256" s="115"/>
    </row>
    <row r="257" spans="1:13" s="399" customFormat="1" ht="15" outlineLevel="2" thickBot="1">
      <c r="A257" s="363"/>
      <c r="B257" s="365"/>
      <c r="C257" s="151"/>
      <c r="D257" s="115"/>
      <c r="E257" s="247" t="s">
        <v>1026</v>
      </c>
      <c r="F257" s="251">
        <v>46.002893052766098</v>
      </c>
      <c r="G257" s="252"/>
      <c r="H257" s="252">
        <v>41.851944838372354</v>
      </c>
      <c r="I257" s="252"/>
      <c r="J257" s="252"/>
      <c r="K257" s="252"/>
      <c r="L257" s="253">
        <v>40.14431519706644</v>
      </c>
      <c r="M257" s="115"/>
    </row>
    <row r="258" spans="1:13" s="399" customFormat="1" outlineLevel="2">
      <c r="A258" s="363"/>
      <c r="B258" s="365"/>
      <c r="C258" s="151"/>
      <c r="D258" s="115"/>
      <c r="E258" s="610" t="s">
        <v>967</v>
      </c>
      <c r="F258" s="610"/>
      <c r="G258" s="610"/>
      <c r="H258" s="610"/>
      <c r="I258" s="610"/>
      <c r="J258" s="610"/>
      <c r="K258" s="610"/>
      <c r="L258" s="610"/>
      <c r="M258" s="115"/>
    </row>
    <row r="259" spans="1:13" s="399" customFormat="1" outlineLevel="1">
      <c r="A259" s="363"/>
      <c r="B259" s="365"/>
      <c r="C259" s="151"/>
      <c r="D259" s="115"/>
      <c r="E259" s="508"/>
      <c r="F259" s="508"/>
      <c r="G259" s="508"/>
      <c r="H259" s="508"/>
      <c r="I259" s="508"/>
      <c r="J259" s="508"/>
      <c r="K259" s="508"/>
      <c r="L259" s="508"/>
      <c r="M259" s="115"/>
    </row>
    <row r="260" spans="1:13" s="399" customFormat="1" outlineLevel="1">
      <c r="A260" s="363"/>
      <c r="B260" s="365"/>
      <c r="C260" s="151" t="str">
        <f t="shared" si="12"/>
        <v/>
      </c>
      <c r="D260" s="115"/>
      <c r="E260" s="402"/>
      <c r="F260" s="402"/>
      <c r="G260" s="402"/>
      <c r="H260" s="402"/>
      <c r="I260" s="402"/>
      <c r="J260" s="402"/>
      <c r="K260" s="402"/>
      <c r="L260" s="402"/>
      <c r="M260" s="115"/>
    </row>
    <row r="261" spans="1:13" s="399" customFormat="1" ht="28.8" thickBot="1">
      <c r="A261" s="363"/>
      <c r="B261" s="365"/>
      <c r="C261" s="151" t="str">
        <f t="shared" si="12"/>
        <v>Energie</v>
      </c>
      <c r="D261" s="369"/>
      <c r="E261" s="370"/>
      <c r="F261" s="617" t="s">
        <v>306</v>
      </c>
      <c r="G261" s="617"/>
      <c r="H261" s="617"/>
      <c r="I261" s="617"/>
      <c r="J261" s="617"/>
      <c r="K261" s="617"/>
      <c r="L261" s="617"/>
      <c r="M261" s="617"/>
    </row>
    <row r="262" spans="1:13" s="399" customFormat="1" ht="15" thickTop="1">
      <c r="A262" s="363"/>
      <c r="B262" s="365"/>
      <c r="C262" s="151" t="str">
        <f t="shared" si="12"/>
        <v/>
      </c>
      <c r="D262" s="401"/>
      <c r="E262" s="401"/>
      <c r="F262" s="401"/>
    </row>
    <row r="263" spans="1:13" s="399" customFormat="1" outlineLevel="1">
      <c r="A263" s="363"/>
      <c r="B263" s="365"/>
      <c r="C263" s="151"/>
      <c r="D263" s="115"/>
      <c r="E263" s="402"/>
      <c r="F263" s="402"/>
      <c r="G263" s="402"/>
      <c r="H263" s="402"/>
      <c r="I263" s="402"/>
      <c r="J263" s="402"/>
      <c r="K263" s="402"/>
      <c r="L263" s="402"/>
      <c r="M263" s="115"/>
    </row>
    <row r="264" spans="1:13" s="399" customFormat="1" outlineLevel="1">
      <c r="A264" s="363"/>
      <c r="B264" s="365"/>
      <c r="C264" s="151"/>
      <c r="D264" s="115"/>
      <c r="E264" s="402"/>
      <c r="F264" s="402"/>
      <c r="G264" s="402"/>
      <c r="H264" s="402"/>
      <c r="I264" s="402"/>
      <c r="J264" s="402"/>
      <c r="K264" s="402"/>
      <c r="L264" s="402"/>
      <c r="M264" s="115"/>
    </row>
    <row r="265" spans="1:13" s="399" customFormat="1" ht="15" outlineLevel="1" thickBot="1">
      <c r="A265" s="363"/>
      <c r="B265" s="365"/>
      <c r="C265" s="151"/>
      <c r="D265" s="115"/>
      <c r="E265" s="634" t="s">
        <v>883</v>
      </c>
      <c r="F265" s="634"/>
      <c r="G265" s="634"/>
      <c r="H265" s="634"/>
      <c r="I265" s="634"/>
      <c r="J265" s="634"/>
      <c r="K265" s="634"/>
      <c r="L265" s="634"/>
      <c r="M265" s="115"/>
    </row>
    <row r="266" spans="1:13" s="399" customFormat="1" outlineLevel="2">
      <c r="A266" s="363"/>
      <c r="B266" s="365"/>
      <c r="C266" s="151"/>
      <c r="D266" s="115"/>
      <c r="E266" s="459" t="s">
        <v>124</v>
      </c>
      <c r="F266" s="323">
        <v>2022</v>
      </c>
      <c r="G266" s="323">
        <v>2025</v>
      </c>
      <c r="H266" s="323">
        <v>2030</v>
      </c>
      <c r="I266" s="323">
        <v>2035</v>
      </c>
      <c r="J266" s="323">
        <v>2040</v>
      </c>
      <c r="K266" s="323">
        <v>2045</v>
      </c>
      <c r="L266" s="324">
        <v>2050</v>
      </c>
      <c r="M266" s="115"/>
    </row>
    <row r="267" spans="1:13" s="399" customFormat="1" ht="32.4" customHeight="1" outlineLevel="2" thickBot="1">
      <c r="A267" s="363"/>
      <c r="B267" s="365"/>
      <c r="C267" s="151"/>
      <c r="D267" s="115"/>
      <c r="E267" s="593" t="s">
        <v>884</v>
      </c>
      <c r="F267" s="500">
        <v>974700</v>
      </c>
      <c r="G267" s="501">
        <v>963520.17857142852</v>
      </c>
      <c r="H267" s="501">
        <v>944887.14285714272</v>
      </c>
      <c r="I267" s="501">
        <v>926254.10714285693</v>
      </c>
      <c r="J267" s="501">
        <v>907621.07142857113</v>
      </c>
      <c r="K267" s="501">
        <v>888988.03571428533</v>
      </c>
      <c r="L267" s="502">
        <v>870355</v>
      </c>
      <c r="M267" s="115"/>
    </row>
    <row r="268" spans="1:13" s="399" customFormat="1" outlineLevel="2" collapsed="1">
      <c r="A268" s="363"/>
      <c r="B268" s="365"/>
      <c r="C268" s="151"/>
      <c r="D268" s="115"/>
      <c r="E268" s="610" t="s">
        <v>967</v>
      </c>
      <c r="F268" s="610"/>
      <c r="G268" s="610"/>
      <c r="H268" s="610"/>
      <c r="I268" s="610"/>
      <c r="J268" s="610"/>
      <c r="K268" s="610"/>
      <c r="L268" s="610"/>
      <c r="M268" s="115"/>
    </row>
    <row r="269" spans="1:13" s="399" customFormat="1" outlineLevel="1">
      <c r="A269" s="363"/>
      <c r="B269" s="365"/>
      <c r="C269" s="151"/>
      <c r="D269" s="115"/>
      <c r="E269" s="405"/>
      <c r="F269" s="405"/>
      <c r="G269" s="405"/>
      <c r="H269" s="405"/>
      <c r="I269" s="405"/>
      <c r="J269" s="405"/>
      <c r="K269" s="405"/>
      <c r="L269" s="405"/>
      <c r="M269" s="115"/>
    </row>
    <row r="270" spans="1:13" s="399" customFormat="1" ht="15" outlineLevel="1" thickBot="1">
      <c r="A270" s="363"/>
      <c r="B270" s="365"/>
      <c r="C270" s="151"/>
      <c r="D270" s="115"/>
      <c r="E270" s="634" t="s">
        <v>885</v>
      </c>
      <c r="F270" s="634"/>
      <c r="G270" s="634"/>
      <c r="H270" s="634"/>
      <c r="I270" s="634"/>
      <c r="J270" s="634"/>
      <c r="K270" s="634"/>
      <c r="L270" s="634"/>
      <c r="M270" s="115"/>
    </row>
    <row r="271" spans="1:13" s="399" customFormat="1" outlineLevel="2">
      <c r="A271" s="363"/>
      <c r="B271" s="365"/>
      <c r="C271" s="151"/>
      <c r="D271" s="115"/>
      <c r="E271" s="459" t="s">
        <v>121</v>
      </c>
      <c r="F271" s="323">
        <v>2022</v>
      </c>
      <c r="G271" s="323">
        <v>2025</v>
      </c>
      <c r="H271" s="323">
        <v>2030</v>
      </c>
      <c r="I271" s="323">
        <v>2035</v>
      </c>
      <c r="J271" s="323">
        <v>2040</v>
      </c>
      <c r="K271" s="323">
        <v>2045</v>
      </c>
      <c r="L271" s="324">
        <v>2050</v>
      </c>
      <c r="M271" s="115"/>
    </row>
    <row r="272" spans="1:13" s="399" customFormat="1" outlineLevel="2">
      <c r="A272" s="363"/>
      <c r="B272" s="365"/>
      <c r="C272" s="151"/>
      <c r="D272" s="115"/>
      <c r="E272" s="244" t="s">
        <v>280</v>
      </c>
      <c r="F272" s="180">
        <v>1</v>
      </c>
      <c r="G272" s="181">
        <v>1</v>
      </c>
      <c r="H272" s="181">
        <v>1</v>
      </c>
      <c r="I272" s="181">
        <v>0.99822131965605754</v>
      </c>
      <c r="J272" s="181">
        <v>0.99340295767208775</v>
      </c>
      <c r="K272" s="181">
        <v>0.98423116338746641</v>
      </c>
      <c r="L272" s="409">
        <v>0.96972749661520474</v>
      </c>
      <c r="M272" s="115"/>
    </row>
    <row r="273" spans="1:13" s="399" customFormat="1" outlineLevel="2">
      <c r="A273" s="363"/>
      <c r="B273" s="365"/>
      <c r="C273" s="151"/>
      <c r="D273" s="115"/>
      <c r="E273" s="244" t="s">
        <v>1081</v>
      </c>
      <c r="F273" s="180">
        <v>0</v>
      </c>
      <c r="G273" s="181">
        <v>0</v>
      </c>
      <c r="H273" s="181">
        <v>0</v>
      </c>
      <c r="I273" s="181">
        <v>1.1857868959616173E-3</v>
      </c>
      <c r="J273" s="181">
        <v>4.398028218608175E-3</v>
      </c>
      <c r="K273" s="181">
        <v>1.0312053712375865E-2</v>
      </c>
      <c r="L273" s="409">
        <v>1.9437372337241497E-2</v>
      </c>
      <c r="M273" s="115"/>
    </row>
    <row r="274" spans="1:13" s="399" customFormat="1" outlineLevel="2">
      <c r="A274" s="363"/>
      <c r="B274" s="365"/>
      <c r="C274" s="151"/>
      <c r="D274" s="115"/>
      <c r="E274" s="244" t="s">
        <v>335</v>
      </c>
      <c r="F274" s="180">
        <v>0</v>
      </c>
      <c r="G274" s="181">
        <v>0</v>
      </c>
      <c r="H274" s="181">
        <v>0</v>
      </c>
      <c r="I274" s="181">
        <v>5.9289344798080863E-4</v>
      </c>
      <c r="J274" s="181">
        <v>2.1990141093040875E-3</v>
      </c>
      <c r="K274" s="181">
        <v>5.4567829001577481E-3</v>
      </c>
      <c r="L274" s="409">
        <v>1.0835131047553835E-2</v>
      </c>
      <c r="M274" s="115"/>
    </row>
    <row r="275" spans="1:13" s="399" customFormat="1" outlineLevel="2">
      <c r="A275" s="363"/>
      <c r="B275" s="365"/>
      <c r="C275" s="151"/>
      <c r="D275" s="115"/>
      <c r="E275" s="244" t="s">
        <v>332</v>
      </c>
      <c r="F275" s="180">
        <v>0</v>
      </c>
      <c r="G275" s="181">
        <v>0</v>
      </c>
      <c r="H275" s="181">
        <v>0</v>
      </c>
      <c r="I275" s="181">
        <v>0</v>
      </c>
      <c r="J275" s="181">
        <v>0</v>
      </c>
      <c r="K275" s="181">
        <v>0</v>
      </c>
      <c r="L275" s="409">
        <v>0</v>
      </c>
      <c r="M275" s="115"/>
    </row>
    <row r="276" spans="1:13" s="399" customFormat="1" ht="15" outlineLevel="2" thickBot="1">
      <c r="A276" s="363"/>
      <c r="B276" s="365"/>
      <c r="C276" s="151"/>
      <c r="D276" s="115"/>
      <c r="E276" s="247" t="s">
        <v>260</v>
      </c>
      <c r="F276" s="503">
        <v>0</v>
      </c>
      <c r="G276" s="493">
        <v>0</v>
      </c>
      <c r="H276" s="493">
        <v>0</v>
      </c>
      <c r="I276" s="493">
        <v>0</v>
      </c>
      <c r="J276" s="493">
        <v>0</v>
      </c>
      <c r="K276" s="493">
        <v>0</v>
      </c>
      <c r="L276" s="504">
        <v>0</v>
      </c>
      <c r="M276" s="115"/>
    </row>
    <row r="277" spans="1:13" s="399" customFormat="1" outlineLevel="2" collapsed="1">
      <c r="A277" s="363"/>
      <c r="B277" s="365"/>
      <c r="C277" s="151"/>
      <c r="D277" s="115"/>
      <c r="E277" s="610" t="s">
        <v>967</v>
      </c>
      <c r="F277" s="610"/>
      <c r="G277" s="610"/>
      <c r="H277" s="610"/>
      <c r="I277" s="610"/>
      <c r="J277" s="610"/>
      <c r="K277" s="610"/>
      <c r="L277" s="610"/>
      <c r="M277" s="115"/>
    </row>
    <row r="278" spans="1:13" s="399" customFormat="1" outlineLevel="1">
      <c r="A278" s="363"/>
      <c r="B278" s="365"/>
      <c r="C278" s="151"/>
      <c r="D278" s="115"/>
      <c r="E278" s="405"/>
      <c r="F278" s="405"/>
      <c r="G278" s="405"/>
      <c r="H278" s="405"/>
      <c r="I278" s="405"/>
      <c r="J278" s="405"/>
      <c r="K278" s="405"/>
      <c r="L278" s="405"/>
      <c r="M278" s="115"/>
    </row>
    <row r="279" spans="1:13" s="399" customFormat="1" ht="15" outlineLevel="2" thickBot="1">
      <c r="A279" s="363"/>
      <c r="B279" s="365"/>
      <c r="C279" s="151"/>
      <c r="D279" s="115"/>
      <c r="E279" s="634" t="s">
        <v>886</v>
      </c>
      <c r="F279" s="634"/>
      <c r="G279" s="634"/>
      <c r="H279" s="634"/>
      <c r="I279" s="634"/>
      <c r="J279" s="634"/>
      <c r="K279" s="634"/>
      <c r="L279" s="634"/>
      <c r="M279" s="115"/>
    </row>
    <row r="280" spans="1:13" s="399" customFormat="1" outlineLevel="2">
      <c r="A280" s="363"/>
      <c r="B280" s="365"/>
      <c r="C280" s="151"/>
      <c r="D280" s="115"/>
      <c r="E280" s="459" t="s">
        <v>121</v>
      </c>
      <c r="F280" s="323">
        <v>2022</v>
      </c>
      <c r="G280" s="323">
        <v>2025</v>
      </c>
      <c r="H280" s="323">
        <v>2030</v>
      </c>
      <c r="I280" s="323">
        <v>2035</v>
      </c>
      <c r="J280" s="323">
        <v>2040</v>
      </c>
      <c r="K280" s="323">
        <v>2045</v>
      </c>
      <c r="L280" s="324">
        <v>2050</v>
      </c>
      <c r="M280" s="115"/>
    </row>
    <row r="281" spans="1:13" s="399" customFormat="1" outlineLevel="2">
      <c r="A281" s="363"/>
      <c r="B281" s="365"/>
      <c r="C281" s="151"/>
      <c r="D281" s="115"/>
      <c r="E281" s="244" t="s">
        <v>280</v>
      </c>
      <c r="F281" s="180">
        <v>1</v>
      </c>
      <c r="G281" s="181">
        <v>1</v>
      </c>
      <c r="H281" s="181">
        <v>1</v>
      </c>
      <c r="I281" s="181">
        <v>0.98499999999999999</v>
      </c>
      <c r="J281" s="181">
        <v>0.97</v>
      </c>
      <c r="K281" s="181">
        <v>0.94499999999999995</v>
      </c>
      <c r="L281" s="409">
        <v>0.92</v>
      </c>
      <c r="M281" s="115"/>
    </row>
    <row r="282" spans="1:13" s="399" customFormat="1" outlineLevel="2">
      <c r="A282" s="363"/>
      <c r="B282" s="365"/>
      <c r="C282" s="151"/>
      <c r="D282" s="115"/>
      <c r="E282" s="244" t="s">
        <v>1081</v>
      </c>
      <c r="F282" s="180">
        <v>0</v>
      </c>
      <c r="G282" s="181">
        <v>0</v>
      </c>
      <c r="H282" s="181">
        <v>0</v>
      </c>
      <c r="I282" s="181">
        <v>0.01</v>
      </c>
      <c r="J282" s="181">
        <v>0.02</v>
      </c>
      <c r="K282" s="181">
        <v>3.5000000000000003E-2</v>
      </c>
      <c r="L282" s="409">
        <v>0.05</v>
      </c>
      <c r="M282" s="115"/>
    </row>
    <row r="283" spans="1:13" s="399" customFormat="1" outlineLevel="2">
      <c r="A283" s="363"/>
      <c r="B283" s="365"/>
      <c r="C283" s="151"/>
      <c r="D283" s="115"/>
      <c r="E283" s="244" t="s">
        <v>335</v>
      </c>
      <c r="F283" s="180">
        <v>0</v>
      </c>
      <c r="G283" s="181">
        <v>0</v>
      </c>
      <c r="H283" s="181">
        <v>0</v>
      </c>
      <c r="I283" s="181">
        <v>5.0000000000000001E-3</v>
      </c>
      <c r="J283" s="181">
        <v>0.01</v>
      </c>
      <c r="K283" s="181">
        <v>1.9999999999999997E-2</v>
      </c>
      <c r="L283" s="409">
        <v>0.03</v>
      </c>
      <c r="M283" s="115"/>
    </row>
    <row r="284" spans="1:13" s="399" customFormat="1" outlineLevel="2">
      <c r="A284" s="363"/>
      <c r="B284" s="365"/>
      <c r="C284" s="151"/>
      <c r="D284" s="115"/>
      <c r="E284" s="244" t="s">
        <v>332</v>
      </c>
      <c r="F284" s="180">
        <v>0</v>
      </c>
      <c r="G284" s="181">
        <v>0</v>
      </c>
      <c r="H284" s="181">
        <v>0</v>
      </c>
      <c r="I284" s="181">
        <v>0</v>
      </c>
      <c r="J284" s="181">
        <v>0</v>
      </c>
      <c r="K284" s="181">
        <v>0</v>
      </c>
      <c r="L284" s="409">
        <v>0</v>
      </c>
      <c r="M284" s="115"/>
    </row>
    <row r="285" spans="1:13" s="399" customFormat="1" ht="15" outlineLevel="2" thickBot="1">
      <c r="A285" s="363"/>
      <c r="B285" s="365"/>
      <c r="C285" s="151"/>
      <c r="D285" s="115"/>
      <c r="E285" s="247" t="s">
        <v>260</v>
      </c>
      <c r="F285" s="503">
        <v>0</v>
      </c>
      <c r="G285" s="493">
        <v>0</v>
      </c>
      <c r="H285" s="493">
        <v>0</v>
      </c>
      <c r="I285" s="493">
        <v>0</v>
      </c>
      <c r="J285" s="493">
        <v>0</v>
      </c>
      <c r="K285" s="493">
        <v>0</v>
      </c>
      <c r="L285" s="504">
        <v>0</v>
      </c>
      <c r="M285" s="115"/>
    </row>
    <row r="286" spans="1:13" s="399" customFormat="1" outlineLevel="2" collapsed="1">
      <c r="A286" s="363"/>
      <c r="B286" s="365"/>
      <c r="C286" s="151"/>
      <c r="D286" s="115"/>
      <c r="E286" s="610" t="s">
        <v>967</v>
      </c>
      <c r="F286" s="610"/>
      <c r="G286" s="610"/>
      <c r="H286" s="610"/>
      <c r="I286" s="610"/>
      <c r="J286" s="610"/>
      <c r="K286" s="610"/>
      <c r="L286" s="610"/>
      <c r="M286" s="115"/>
    </row>
    <row r="287" spans="1:13" s="399" customFormat="1" outlineLevel="1">
      <c r="A287" s="363"/>
      <c r="B287" s="365"/>
      <c r="C287" s="151"/>
      <c r="D287" s="115"/>
      <c r="E287" s="402"/>
      <c r="F287" s="402"/>
      <c r="G287" s="402"/>
      <c r="H287" s="402"/>
      <c r="I287" s="402"/>
      <c r="J287" s="402"/>
      <c r="K287" s="402"/>
      <c r="L287" s="402"/>
      <c r="M287" s="115"/>
    </row>
    <row r="288" spans="1:13" s="399" customFormat="1" ht="15" outlineLevel="1" thickBot="1">
      <c r="A288" s="363"/>
      <c r="B288" s="365"/>
      <c r="C288" s="151"/>
      <c r="D288" s="115"/>
      <c r="E288" s="634" t="s">
        <v>887</v>
      </c>
      <c r="F288" s="634"/>
      <c r="G288" s="634"/>
      <c r="H288" s="634"/>
      <c r="I288" s="634"/>
      <c r="J288" s="634"/>
      <c r="K288" s="634"/>
      <c r="L288" s="634"/>
      <c r="M288" s="115"/>
    </row>
    <row r="289" spans="1:13" s="399" customFormat="1" outlineLevel="2">
      <c r="A289" s="363"/>
      <c r="B289" s="365"/>
      <c r="C289" s="151"/>
      <c r="D289" s="115"/>
      <c r="E289" s="459"/>
      <c r="F289" s="323">
        <v>2022</v>
      </c>
      <c r="G289" s="323">
        <v>2025</v>
      </c>
      <c r="H289" s="323">
        <v>2030</v>
      </c>
      <c r="I289" s="323">
        <v>2035</v>
      </c>
      <c r="J289" s="323">
        <v>2040</v>
      </c>
      <c r="K289" s="323">
        <v>2045</v>
      </c>
      <c r="L289" s="324">
        <v>2050</v>
      </c>
      <c r="M289" s="115"/>
    </row>
    <row r="290" spans="1:13" s="399" customFormat="1" ht="15" outlineLevel="2" thickBot="1">
      <c r="A290" s="363"/>
      <c r="B290" s="365"/>
      <c r="C290" s="151"/>
      <c r="D290" s="115"/>
      <c r="E290" s="247" t="s">
        <v>887</v>
      </c>
      <c r="F290" s="505">
        <v>1</v>
      </c>
      <c r="G290" s="506">
        <v>1.005492010630163</v>
      </c>
      <c r="H290" s="506">
        <v>1.0147114332537301</v>
      </c>
      <c r="I290" s="506"/>
      <c r="J290" s="506">
        <v>1.0336671060292264</v>
      </c>
      <c r="K290" s="506"/>
      <c r="L290" s="507">
        <v>1.0536342962762499</v>
      </c>
      <c r="M290" s="115"/>
    </row>
    <row r="291" spans="1:13" s="399" customFormat="1" outlineLevel="2" collapsed="1">
      <c r="A291" s="363"/>
      <c r="B291" s="365"/>
      <c r="C291" s="151"/>
      <c r="D291" s="115"/>
      <c r="E291" s="610" t="s">
        <v>967</v>
      </c>
      <c r="F291" s="610"/>
      <c r="G291" s="610"/>
      <c r="H291" s="610"/>
      <c r="I291" s="610"/>
      <c r="J291" s="610"/>
      <c r="K291" s="610"/>
      <c r="L291" s="610"/>
      <c r="M291" s="115"/>
    </row>
    <row r="292" spans="1:13" s="399" customFormat="1" outlineLevel="1">
      <c r="A292" s="363"/>
      <c r="B292" s="365"/>
      <c r="C292" s="151"/>
      <c r="D292" s="115"/>
      <c r="E292" s="405"/>
      <c r="F292" s="405"/>
      <c r="G292" s="405"/>
      <c r="H292" s="405"/>
      <c r="I292" s="405"/>
      <c r="J292" s="405"/>
      <c r="K292" s="405"/>
      <c r="L292" s="405"/>
      <c r="M292" s="115"/>
    </row>
    <row r="293" spans="1:13" s="399" customFormat="1" ht="15" outlineLevel="1" thickBot="1">
      <c r="A293" s="363"/>
      <c r="B293" s="365"/>
      <c r="C293" s="151"/>
      <c r="D293" s="115"/>
      <c r="E293" s="634" t="s">
        <v>888</v>
      </c>
      <c r="F293" s="634"/>
      <c r="G293" s="634"/>
      <c r="H293" s="634"/>
      <c r="I293" s="634"/>
      <c r="J293" s="634"/>
      <c r="K293" s="634"/>
      <c r="L293" s="634"/>
      <c r="M293" s="115"/>
    </row>
    <row r="294" spans="1:13" s="399" customFormat="1" outlineLevel="2">
      <c r="A294" s="363"/>
      <c r="B294" s="365"/>
      <c r="C294" s="151"/>
      <c r="D294" s="115"/>
      <c r="E294" s="459" t="s">
        <v>121</v>
      </c>
      <c r="F294" s="323">
        <v>2020</v>
      </c>
      <c r="G294" s="323">
        <v>2025</v>
      </c>
      <c r="H294" s="323">
        <v>2030</v>
      </c>
      <c r="I294" s="323">
        <v>2035</v>
      </c>
      <c r="J294" s="323">
        <v>2040</v>
      </c>
      <c r="K294" s="323">
        <v>2045</v>
      </c>
      <c r="L294" s="324">
        <v>2050</v>
      </c>
      <c r="M294" s="115"/>
    </row>
    <row r="295" spans="1:13" s="399" customFormat="1" outlineLevel="2">
      <c r="A295" s="363"/>
      <c r="B295" s="365"/>
      <c r="C295" s="151"/>
      <c r="D295" s="115"/>
      <c r="E295" s="244" t="s">
        <v>889</v>
      </c>
      <c r="F295" s="248">
        <v>321</v>
      </c>
      <c r="G295" s="249"/>
      <c r="H295" s="249"/>
      <c r="I295" s="249"/>
      <c r="J295" s="249"/>
      <c r="K295" s="249"/>
      <c r="L295" s="250">
        <v>256.8</v>
      </c>
      <c r="M295" s="115"/>
    </row>
    <row r="296" spans="1:13" s="399" customFormat="1" ht="15" outlineLevel="2" thickBot="1">
      <c r="A296" s="363"/>
      <c r="B296" s="365"/>
      <c r="C296" s="151"/>
      <c r="D296" s="115"/>
      <c r="E296" s="247" t="s">
        <v>890</v>
      </c>
      <c r="F296" s="251">
        <v>160</v>
      </c>
      <c r="G296" s="252"/>
      <c r="H296" s="252"/>
      <c r="I296" s="252"/>
      <c r="J296" s="252"/>
      <c r="K296" s="252"/>
      <c r="L296" s="253">
        <v>128</v>
      </c>
      <c r="M296" s="115"/>
    </row>
    <row r="297" spans="1:13" s="399" customFormat="1" outlineLevel="2" collapsed="1">
      <c r="A297" s="363"/>
      <c r="B297" s="365"/>
      <c r="C297" s="151"/>
      <c r="D297" s="115"/>
      <c r="E297" s="610" t="s">
        <v>967</v>
      </c>
      <c r="F297" s="610"/>
      <c r="G297" s="610"/>
      <c r="H297" s="610"/>
      <c r="I297" s="610"/>
      <c r="J297" s="610"/>
      <c r="K297" s="610"/>
      <c r="L297" s="610"/>
      <c r="M297" s="115"/>
    </row>
    <row r="298" spans="1:13" s="399" customFormat="1" outlineLevel="1">
      <c r="A298" s="363"/>
      <c r="B298" s="365"/>
      <c r="C298" s="151"/>
      <c r="D298" s="115"/>
      <c r="E298" s="405"/>
      <c r="F298" s="405"/>
      <c r="G298" s="405"/>
      <c r="H298" s="405"/>
      <c r="I298" s="405"/>
      <c r="J298" s="405"/>
      <c r="K298" s="405"/>
      <c r="L298" s="405"/>
      <c r="M298" s="115"/>
    </row>
    <row r="299" spans="1:13" s="399" customFormat="1" ht="15" outlineLevel="1" thickBot="1">
      <c r="A299" s="363"/>
      <c r="B299" s="365"/>
      <c r="C299" s="151"/>
      <c r="D299" s="115"/>
      <c r="E299" s="634" t="s">
        <v>1011</v>
      </c>
      <c r="F299" s="634"/>
      <c r="G299" s="634"/>
      <c r="H299" s="634"/>
      <c r="I299" s="634"/>
      <c r="J299" s="634"/>
      <c r="K299" s="634"/>
      <c r="L299" s="634"/>
      <c r="M299" s="115"/>
    </row>
    <row r="300" spans="1:13" s="399" customFormat="1" outlineLevel="2">
      <c r="A300" s="363"/>
      <c r="B300" s="365"/>
      <c r="C300" s="151"/>
      <c r="D300" s="115"/>
      <c r="E300" s="459" t="s">
        <v>121</v>
      </c>
      <c r="F300" s="323">
        <v>2020</v>
      </c>
      <c r="G300" s="323">
        <v>2025</v>
      </c>
      <c r="H300" s="323">
        <v>2030</v>
      </c>
      <c r="I300" s="323">
        <v>2035</v>
      </c>
      <c r="J300" s="323">
        <v>2040</v>
      </c>
      <c r="K300" s="323">
        <v>2045</v>
      </c>
      <c r="L300" s="324">
        <v>2050</v>
      </c>
      <c r="M300" s="115"/>
    </row>
    <row r="301" spans="1:13" s="399" customFormat="1" outlineLevel="2">
      <c r="A301" s="363"/>
      <c r="B301" s="365"/>
      <c r="C301" s="151"/>
      <c r="D301" s="115"/>
      <c r="E301" s="244" t="s">
        <v>377</v>
      </c>
      <c r="F301" s="284">
        <v>442</v>
      </c>
      <c r="G301" s="249"/>
      <c r="H301" s="249"/>
      <c r="I301" s="249"/>
      <c r="J301" s="249"/>
      <c r="K301" s="249"/>
      <c r="L301" s="473">
        <v>428.74</v>
      </c>
      <c r="M301" s="115"/>
    </row>
    <row r="302" spans="1:13" s="399" customFormat="1" outlineLevel="2">
      <c r="A302" s="363"/>
      <c r="B302" s="365"/>
      <c r="C302" s="151"/>
      <c r="D302" s="115"/>
      <c r="E302" s="244" t="s">
        <v>378</v>
      </c>
      <c r="F302" s="284">
        <v>93</v>
      </c>
      <c r="G302" s="249"/>
      <c r="H302" s="249"/>
      <c r="I302" s="249"/>
      <c r="J302" s="249"/>
      <c r="K302" s="249"/>
      <c r="L302" s="473">
        <v>83.7</v>
      </c>
      <c r="M302" s="115"/>
    </row>
    <row r="303" spans="1:13" s="399" customFormat="1" outlineLevel="2">
      <c r="A303" s="363"/>
      <c r="B303" s="365"/>
      <c r="C303" s="151"/>
      <c r="D303" s="115"/>
      <c r="E303" s="244" t="s">
        <v>891</v>
      </c>
      <c r="F303" s="284">
        <v>403</v>
      </c>
      <c r="G303" s="249"/>
      <c r="H303" s="249"/>
      <c r="I303" s="249"/>
      <c r="J303" s="249"/>
      <c r="K303" s="249"/>
      <c r="L303" s="473">
        <v>362.7</v>
      </c>
      <c r="M303" s="115"/>
    </row>
    <row r="304" spans="1:13" s="399" customFormat="1" outlineLevel="2">
      <c r="A304" s="363"/>
      <c r="B304" s="365"/>
      <c r="C304" s="151"/>
      <c r="D304" s="115"/>
      <c r="E304" s="244" t="s">
        <v>892</v>
      </c>
      <c r="F304" s="284">
        <v>25</v>
      </c>
      <c r="G304" s="249"/>
      <c r="H304" s="249"/>
      <c r="I304" s="249"/>
      <c r="J304" s="249"/>
      <c r="K304" s="249"/>
      <c r="L304" s="473">
        <v>22.5</v>
      </c>
      <c r="M304" s="115"/>
    </row>
    <row r="305" spans="1:13" s="399" customFormat="1" outlineLevel="2">
      <c r="A305" s="363"/>
      <c r="B305" s="365"/>
      <c r="C305" s="151"/>
      <c r="D305" s="115"/>
      <c r="E305" s="244" t="s">
        <v>893</v>
      </c>
      <c r="F305" s="284">
        <v>3.15</v>
      </c>
      <c r="G305" s="249"/>
      <c r="H305" s="249"/>
      <c r="I305" s="249"/>
      <c r="J305" s="249"/>
      <c r="K305" s="249"/>
      <c r="L305" s="473">
        <v>2.835</v>
      </c>
      <c r="M305" s="115"/>
    </row>
    <row r="306" spans="1:13" s="399" customFormat="1" outlineLevel="2">
      <c r="A306" s="363"/>
      <c r="B306" s="365"/>
      <c r="C306" s="151"/>
      <c r="D306" s="115"/>
      <c r="E306" s="244" t="s">
        <v>895</v>
      </c>
      <c r="F306" s="284">
        <v>0.52</v>
      </c>
      <c r="G306" s="249"/>
      <c r="H306" s="249"/>
      <c r="I306" s="249"/>
      <c r="J306" s="249"/>
      <c r="K306" s="249"/>
      <c r="L306" s="473">
        <v>0.46800000000000003</v>
      </c>
      <c r="M306" s="115"/>
    </row>
    <row r="307" spans="1:13" s="399" customFormat="1" ht="15" outlineLevel="2" thickBot="1">
      <c r="A307" s="363"/>
      <c r="B307" s="365"/>
      <c r="C307" s="151"/>
      <c r="D307" s="115"/>
      <c r="E307" s="247" t="s">
        <v>894</v>
      </c>
      <c r="F307" s="474">
        <v>108</v>
      </c>
      <c r="G307" s="252"/>
      <c r="H307" s="252"/>
      <c r="I307" s="252"/>
      <c r="J307" s="252"/>
      <c r="K307" s="252"/>
      <c r="L307" s="476">
        <v>97.2</v>
      </c>
      <c r="M307" s="115"/>
    </row>
    <row r="308" spans="1:13" s="399" customFormat="1" outlineLevel="2" collapsed="1">
      <c r="A308" s="363"/>
      <c r="B308" s="365"/>
      <c r="C308" s="151"/>
      <c r="D308" s="115"/>
      <c r="E308" s="610" t="s">
        <v>967</v>
      </c>
      <c r="F308" s="610"/>
      <c r="G308" s="610"/>
      <c r="H308" s="610"/>
      <c r="I308" s="610"/>
      <c r="J308" s="610"/>
      <c r="K308" s="610"/>
      <c r="L308" s="610"/>
      <c r="M308" s="115"/>
    </row>
    <row r="309" spans="1:13" s="399" customFormat="1" outlineLevel="1">
      <c r="A309" s="363"/>
      <c r="B309" s="365"/>
      <c r="C309" s="151"/>
      <c r="D309" s="115"/>
      <c r="E309" s="402"/>
      <c r="F309" s="402"/>
      <c r="G309" s="402"/>
      <c r="H309" s="402"/>
      <c r="I309" s="402"/>
      <c r="J309" s="402"/>
      <c r="K309" s="402"/>
      <c r="L309" s="402"/>
      <c r="M309" s="115"/>
    </row>
    <row r="310" spans="1:13" s="399" customFormat="1" outlineLevel="1">
      <c r="A310" s="363"/>
      <c r="B310" s="365"/>
      <c r="C310" s="151"/>
      <c r="D310" s="115"/>
      <c r="E310" s="402"/>
      <c r="F310" s="402"/>
      <c r="G310" s="402"/>
      <c r="H310" s="402"/>
      <c r="I310" s="402"/>
      <c r="J310" s="402"/>
      <c r="K310" s="402"/>
      <c r="L310" s="402"/>
      <c r="M310" s="115"/>
    </row>
    <row r="311" spans="1:13">
      <c r="A311" s="114"/>
      <c r="C311" s="151" t="str">
        <f t="shared" si="12"/>
        <v/>
      </c>
      <c r="D311" s="629"/>
      <c r="E311" s="629"/>
      <c r="F311" s="629"/>
      <c r="G311" s="629"/>
      <c r="H311" s="208"/>
      <c r="I311" s="208"/>
      <c r="J311" s="208"/>
    </row>
    <row r="312" spans="1:13" ht="28.8" thickBot="1">
      <c r="A312" s="366"/>
      <c r="C312" s="151" t="str">
        <f t="shared" si="12"/>
        <v>Résultats</v>
      </c>
      <c r="D312" s="371"/>
      <c r="E312" s="635" t="s">
        <v>137</v>
      </c>
      <c r="F312" s="635"/>
      <c r="G312" s="635"/>
      <c r="H312" s="635"/>
      <c r="I312" s="635"/>
      <c r="J312" s="635"/>
      <c r="K312" s="635"/>
      <c r="L312" s="635"/>
      <c r="M312" s="371"/>
    </row>
    <row r="313" spans="1:13" ht="15" thickTop="1">
      <c r="A313" s="366"/>
      <c r="C313" s="151" t="str">
        <f t="shared" si="12"/>
        <v/>
      </c>
      <c r="D313" s="3"/>
      <c r="E313" s="3"/>
      <c r="F313" s="3"/>
      <c r="G313" s="3"/>
      <c r="H313" s="3"/>
      <c r="I313" s="3"/>
      <c r="J313" s="3"/>
      <c r="K313" s="3"/>
      <c r="L313" s="3"/>
      <c r="M313" s="3"/>
    </row>
    <row r="314" spans="1:13" ht="15.6">
      <c r="A314" s="366"/>
      <c r="C314" s="151" t="str">
        <f t="shared" si="12"/>
        <v/>
      </c>
      <c r="D314" s="112"/>
      <c r="E314" s="113"/>
      <c r="F314" s="113"/>
      <c r="G314" s="113"/>
      <c r="H314" s="113"/>
      <c r="I314" s="113"/>
      <c r="J314" s="113"/>
      <c r="K314" s="113"/>
      <c r="L314" s="113"/>
      <c r="M314" s="3"/>
    </row>
    <row r="315" spans="1:13" ht="28.8" thickBot="1">
      <c r="A315" s="366"/>
      <c r="B315" s="367"/>
      <c r="C315" s="151" t="str">
        <f t="shared" si="12"/>
        <v>Consommations d'énergie</v>
      </c>
      <c r="D315" s="371"/>
      <c r="E315" s="372"/>
      <c r="F315" s="635" t="s">
        <v>141</v>
      </c>
      <c r="G315" s="635"/>
      <c r="H315" s="635"/>
      <c r="I315" s="635"/>
      <c r="J315" s="635"/>
      <c r="K315" s="635"/>
      <c r="L315" s="635"/>
      <c r="M315" s="635"/>
    </row>
    <row r="316" spans="1:13" ht="15" thickTop="1">
      <c r="A316" s="366"/>
      <c r="B316" s="367"/>
      <c r="C316" s="151" t="str">
        <f t="shared" si="12"/>
        <v/>
      </c>
    </row>
    <row r="317" spans="1:13">
      <c r="A317" s="366"/>
      <c r="B317" s="367"/>
      <c r="C317" s="151" t="str">
        <f t="shared" si="12"/>
        <v/>
      </c>
      <c r="D317" s="115"/>
      <c r="E317" s="115"/>
      <c r="F317" s="115"/>
      <c r="G317" s="115"/>
      <c r="H317" s="115"/>
      <c r="I317" s="115"/>
      <c r="J317" s="115"/>
      <c r="K317" s="115"/>
      <c r="L317" s="115"/>
      <c r="M317" s="115"/>
    </row>
    <row r="318" spans="1:13" ht="19.2">
      <c r="A318" s="366"/>
      <c r="B318" s="367"/>
      <c r="C318" s="151" t="str">
        <f t="shared" si="12"/>
        <v>Compléments</v>
      </c>
      <c r="D318" s="115"/>
      <c r="E318" s="125" t="s">
        <v>139</v>
      </c>
      <c r="F318" s="115"/>
      <c r="G318" s="115"/>
      <c r="H318" s="115"/>
      <c r="I318" s="115"/>
      <c r="J318" s="115"/>
      <c r="K318" s="115"/>
      <c r="L318" s="115"/>
      <c r="M318" s="115"/>
    </row>
    <row r="319" spans="1:13" ht="40.950000000000003" customHeight="1">
      <c r="A319" s="366"/>
      <c r="B319" s="367"/>
      <c r="C319" s="151" t="str">
        <f t="shared" si="12"/>
        <v>Les consommations d'énergie sont calculées à partir du modèle MOSUT, à partir des hypothèses sur le parc d'engins et sur la décarbonation des bâtiments agricoles.</v>
      </c>
      <c r="D319" s="115"/>
      <c r="E319" s="613" t="s">
        <v>449</v>
      </c>
      <c r="F319" s="614"/>
      <c r="G319" s="614"/>
      <c r="H319" s="614"/>
      <c r="I319" s="614"/>
      <c r="J319" s="614"/>
      <c r="K319" s="614"/>
      <c r="L319" s="614"/>
      <c r="M319" s="115"/>
    </row>
    <row r="320" spans="1:13">
      <c r="A320" s="366"/>
      <c r="B320" s="367"/>
      <c r="C320" s="151" t="str">
        <f t="shared" si="12"/>
        <v/>
      </c>
      <c r="D320" s="115"/>
      <c r="E320" s="115"/>
      <c r="F320" s="115"/>
      <c r="G320" s="115"/>
      <c r="H320" s="115"/>
      <c r="I320" s="115"/>
      <c r="J320" s="115"/>
      <c r="K320" s="115"/>
      <c r="L320" s="115"/>
      <c r="M320" s="115"/>
    </row>
    <row r="321" spans="1:13" ht="15" thickBot="1">
      <c r="A321" s="366"/>
      <c r="B321" s="367"/>
      <c r="C321" s="151" t="str">
        <f t="shared" si="12"/>
        <v>Evolution des consommations d'énergie (TWh)</v>
      </c>
      <c r="D321" s="115"/>
      <c r="E321" s="615" t="s">
        <v>304</v>
      </c>
      <c r="F321" s="615"/>
      <c r="G321" s="615"/>
      <c r="H321" s="615"/>
      <c r="I321" s="615"/>
      <c r="J321" s="615"/>
      <c r="K321" s="615"/>
      <c r="L321" s="615"/>
      <c r="M321" s="115"/>
    </row>
    <row r="322" spans="1:13" outlineLevel="1">
      <c r="A322" s="366"/>
      <c r="B322" s="367"/>
      <c r="C322" s="151" t="str">
        <f t="shared" si="12"/>
        <v>TWh PCI</v>
      </c>
      <c r="D322" s="115"/>
      <c r="E322" s="227" t="s">
        <v>1103</v>
      </c>
      <c r="F322" s="254">
        <v>2021</v>
      </c>
      <c r="G322" s="254">
        <v>2025</v>
      </c>
      <c r="H322" s="254">
        <v>2030</v>
      </c>
      <c r="I322" s="254">
        <v>2035</v>
      </c>
      <c r="J322" s="254">
        <v>2040</v>
      </c>
      <c r="K322" s="254">
        <v>2045</v>
      </c>
      <c r="L322" s="255">
        <v>2050</v>
      </c>
      <c r="M322" s="115"/>
    </row>
    <row r="323" spans="1:13" outlineLevel="1">
      <c r="A323" s="366"/>
      <c r="B323" s="367"/>
      <c r="C323" s="151" t="str">
        <f t="shared" si="12"/>
        <v>Charbon</v>
      </c>
      <c r="D323" s="116"/>
      <c r="E323" s="122" t="s">
        <v>185</v>
      </c>
      <c r="F323" s="135">
        <f t="array" ref="F323:F340">TRANSPOSE(Bilans!F117:W117)</f>
        <v>1.645683379E-2</v>
      </c>
      <c r="G323" s="136">
        <f t="array" ref="G323:G340">TRANSPOSE(Bilans!F187:W187)</f>
        <v>0</v>
      </c>
      <c r="H323" s="136">
        <f t="array" ref="H323:H340">TRANSPOSE(Bilans!F257:W257)</f>
        <v>0</v>
      </c>
      <c r="I323" s="136">
        <f t="array" ref="I323:I340">TRANSPOSE(Bilans!F327:W327)</f>
        <v>0</v>
      </c>
      <c r="J323" s="136">
        <f t="array" ref="J323:J340">TRANSPOSE(Bilans!F397:W397)</f>
        <v>0</v>
      </c>
      <c r="K323" s="136">
        <f t="array" ref="K323:K340">TRANSPOSE(Bilans!F467:W467)</f>
        <v>0</v>
      </c>
      <c r="L323" s="137">
        <f t="array" ref="L323:L340">TRANSPOSE(Bilans!F502:W502)</f>
        <v>0</v>
      </c>
      <c r="M323" s="115"/>
    </row>
    <row r="324" spans="1:13" outlineLevel="1">
      <c r="A324" s="366"/>
      <c r="B324" s="367"/>
      <c r="C324" s="151" t="str">
        <f t="shared" si="12"/>
        <v>Pétrole brut</v>
      </c>
      <c r="D324" s="117"/>
      <c r="E324" s="122" t="s">
        <v>186</v>
      </c>
      <c r="F324" s="135">
        <v>0</v>
      </c>
      <c r="G324" s="136">
        <v>0</v>
      </c>
      <c r="H324" s="136">
        <v>0</v>
      </c>
      <c r="I324" s="136">
        <v>0</v>
      </c>
      <c r="J324" s="136">
        <v>0</v>
      </c>
      <c r="K324" s="136">
        <v>0</v>
      </c>
      <c r="L324" s="137">
        <v>0</v>
      </c>
      <c r="M324" s="115"/>
    </row>
    <row r="325" spans="1:13" outlineLevel="1">
      <c r="A325" s="366"/>
      <c r="B325" s="367"/>
      <c r="C325" s="151"/>
      <c r="D325" s="117"/>
      <c r="E325" s="129" t="s">
        <v>187</v>
      </c>
      <c r="F325" s="132">
        <v>37.64130659695499</v>
      </c>
      <c r="G325" s="133">
        <v>37.904195650049317</v>
      </c>
      <c r="H325" s="133">
        <v>36.258400977148646</v>
      </c>
      <c r="I325" s="133">
        <v>35.350192304379966</v>
      </c>
      <c r="J325" s="133">
        <v>34.441248331642342</v>
      </c>
      <c r="K325" s="133">
        <v>33.531569058935794</v>
      </c>
      <c r="L325" s="134">
        <v>32.621154486260309</v>
      </c>
      <c r="M325" s="115"/>
    </row>
    <row r="326" spans="1:13" outlineLevel="1">
      <c r="A326" s="366"/>
      <c r="B326" s="367"/>
      <c r="C326" s="151"/>
      <c r="D326" s="117"/>
      <c r="E326" s="122" t="s">
        <v>188</v>
      </c>
      <c r="F326" s="135">
        <v>0</v>
      </c>
      <c r="G326" s="136">
        <v>0</v>
      </c>
      <c r="H326" s="136">
        <v>0</v>
      </c>
      <c r="I326" s="136">
        <v>0</v>
      </c>
      <c r="J326" s="136">
        <v>0</v>
      </c>
      <c r="K326" s="136">
        <v>0</v>
      </c>
      <c r="L326" s="137">
        <v>0</v>
      </c>
      <c r="M326" s="115"/>
    </row>
    <row r="327" spans="1:13" outlineLevel="1">
      <c r="A327" s="366"/>
      <c r="B327" s="367"/>
      <c r="C327" s="151"/>
      <c r="D327" s="117"/>
      <c r="E327" s="129" t="s">
        <v>189</v>
      </c>
      <c r="F327" s="132">
        <v>2.6142742499999998</v>
      </c>
      <c r="G327" s="133">
        <v>2.474036683669985</v>
      </c>
      <c r="H327" s="133">
        <v>2.2062147985542233</v>
      </c>
      <c r="I327" s="133">
        <v>2.1154931375601502</v>
      </c>
      <c r="J327" s="133">
        <v>2.0247409522097382</v>
      </c>
      <c r="K327" s="133">
        <v>1.9333199191066934</v>
      </c>
      <c r="L327" s="134">
        <v>1.8517436694705698</v>
      </c>
      <c r="M327" s="115"/>
    </row>
    <row r="328" spans="1:13" outlineLevel="1">
      <c r="A328" s="366"/>
      <c r="B328" s="367"/>
      <c r="C328" s="151"/>
      <c r="D328" s="117"/>
      <c r="E328" s="122" t="s">
        <v>190</v>
      </c>
      <c r="F328" s="135">
        <v>0</v>
      </c>
      <c r="G328" s="136">
        <v>0</v>
      </c>
      <c r="H328" s="136">
        <v>0</v>
      </c>
      <c r="I328" s="136">
        <v>0</v>
      </c>
      <c r="J328" s="136">
        <v>0</v>
      </c>
      <c r="K328" s="136">
        <v>0</v>
      </c>
      <c r="L328" s="137">
        <v>0</v>
      </c>
      <c r="M328" s="115"/>
    </row>
    <row r="329" spans="1:13" outlineLevel="1">
      <c r="A329" s="366"/>
      <c r="B329" s="367"/>
      <c r="C329" s="151"/>
      <c r="D329" s="117"/>
      <c r="E329" s="122" t="s">
        <v>191</v>
      </c>
      <c r="F329" s="135">
        <v>0</v>
      </c>
      <c r="G329" s="136">
        <v>0</v>
      </c>
      <c r="H329" s="136">
        <v>0</v>
      </c>
      <c r="I329" s="136">
        <v>0</v>
      </c>
      <c r="J329" s="136">
        <v>0</v>
      </c>
      <c r="K329" s="136">
        <v>0</v>
      </c>
      <c r="L329" s="137">
        <v>0</v>
      </c>
      <c r="M329" s="115"/>
    </row>
    <row r="330" spans="1:13" outlineLevel="1">
      <c r="A330" s="366"/>
      <c r="B330" s="367"/>
      <c r="C330" s="151"/>
      <c r="D330" s="117"/>
      <c r="E330" s="122" t="s">
        <v>192</v>
      </c>
      <c r="F330" s="135">
        <v>0</v>
      </c>
      <c r="G330" s="136">
        <v>0</v>
      </c>
      <c r="H330" s="136">
        <v>0</v>
      </c>
      <c r="I330" s="136">
        <v>0</v>
      </c>
      <c r="J330" s="136">
        <v>0</v>
      </c>
      <c r="K330" s="136">
        <v>0</v>
      </c>
      <c r="L330" s="137">
        <v>0</v>
      </c>
      <c r="M330" s="115"/>
    </row>
    <row r="331" spans="1:13" outlineLevel="1">
      <c r="A331" s="366"/>
      <c r="B331" s="367"/>
      <c r="C331" s="151"/>
      <c r="D331" s="117"/>
      <c r="E331" s="129" t="s">
        <v>197</v>
      </c>
      <c r="F331" s="132">
        <v>1.8067343740011113</v>
      </c>
      <c r="G331" s="133">
        <v>0.67193978151949763</v>
      </c>
      <c r="H331" s="133">
        <v>0.94419327023575583</v>
      </c>
      <c r="I331" s="133">
        <v>1.2408945565024712</v>
      </c>
      <c r="J331" s="133">
        <v>1.5375958427691865</v>
      </c>
      <c r="K331" s="133">
        <v>1.8342971290359018</v>
      </c>
      <c r="L331" s="134">
        <v>2.1309984153026171</v>
      </c>
      <c r="M331" s="115"/>
    </row>
    <row r="332" spans="1:13" outlineLevel="1">
      <c r="A332" s="366"/>
      <c r="B332" s="367"/>
      <c r="C332" s="151"/>
      <c r="D332" s="117"/>
      <c r="E332" s="122" t="s">
        <v>24</v>
      </c>
      <c r="F332" s="135">
        <v>0</v>
      </c>
      <c r="G332" s="136">
        <v>0</v>
      </c>
      <c r="H332" s="136">
        <v>0</v>
      </c>
      <c r="I332" s="136">
        <v>0</v>
      </c>
      <c r="J332" s="136">
        <v>0</v>
      </c>
      <c r="K332" s="136">
        <v>0</v>
      </c>
      <c r="L332" s="137">
        <v>0</v>
      </c>
      <c r="M332" s="115"/>
    </row>
    <row r="333" spans="1:13" outlineLevel="1">
      <c r="A333" s="366"/>
      <c r="B333" s="367"/>
      <c r="C333" s="151"/>
      <c r="D333" s="117"/>
      <c r="E333" s="129" t="s">
        <v>198</v>
      </c>
      <c r="F333" s="132">
        <v>2.1134212030118888</v>
      </c>
      <c r="G333" s="133">
        <v>1.860734674299823</v>
      </c>
      <c r="H333" s="133">
        <v>1.7726384240920439</v>
      </c>
      <c r="I333" s="133">
        <v>1.8107421729721609</v>
      </c>
      <c r="J333" s="133">
        <v>1.8488459218522775</v>
      </c>
      <c r="K333" s="133">
        <v>1.8869496707323945</v>
      </c>
      <c r="L333" s="134">
        <v>1.9250534196125115</v>
      </c>
      <c r="M333" s="115"/>
    </row>
    <row r="334" spans="1:13" outlineLevel="1">
      <c r="A334" s="366"/>
      <c r="B334" s="367"/>
      <c r="C334" s="151"/>
      <c r="D334" s="117"/>
      <c r="E334" s="129" t="s">
        <v>199</v>
      </c>
      <c r="F334" s="132">
        <v>0.64352166666666666</v>
      </c>
      <c r="G334" s="133">
        <v>0.12866873241861509</v>
      </c>
      <c r="H334" s="133">
        <v>0.16766631101537727</v>
      </c>
      <c r="I334" s="133">
        <v>0.1599881388169837</v>
      </c>
      <c r="J334" s="133">
        <v>0.1523404909749291</v>
      </c>
      <c r="K334" s="133">
        <v>0.1453616908855058</v>
      </c>
      <c r="L334" s="134">
        <v>0.12853810732916202</v>
      </c>
      <c r="M334" s="115"/>
    </row>
    <row r="335" spans="1:13" outlineLevel="1">
      <c r="A335" s="366"/>
      <c r="B335" s="367"/>
      <c r="C335" s="151"/>
      <c r="D335" s="117"/>
      <c r="E335" s="122" t="s">
        <v>200</v>
      </c>
      <c r="F335" s="135">
        <v>0</v>
      </c>
      <c r="G335" s="136">
        <v>0</v>
      </c>
      <c r="H335" s="136">
        <v>0</v>
      </c>
      <c r="I335" s="136">
        <v>0</v>
      </c>
      <c r="J335" s="136">
        <v>0</v>
      </c>
      <c r="K335" s="136">
        <v>0</v>
      </c>
      <c r="L335" s="137">
        <v>0</v>
      </c>
      <c r="M335" s="115"/>
    </row>
    <row r="336" spans="1:13" outlineLevel="1">
      <c r="A336" s="366"/>
      <c r="B336" s="367"/>
      <c r="C336" s="151"/>
      <c r="D336" s="117"/>
      <c r="E336" s="129" t="s">
        <v>201</v>
      </c>
      <c r="F336" s="132">
        <v>0.29224250000000002</v>
      </c>
      <c r="G336" s="133">
        <v>9.0201671928645533E-2</v>
      </c>
      <c r="H336" s="133">
        <v>8.4265288301735436E-2</v>
      </c>
      <c r="I336" s="133">
        <v>7.8328904674825409E-2</v>
      </c>
      <c r="J336" s="133">
        <v>7.2392521047915395E-2</v>
      </c>
      <c r="K336" s="133">
        <v>6.6456137421005312E-2</v>
      </c>
      <c r="L336" s="134">
        <v>6.051975379409523E-2</v>
      </c>
      <c r="M336" s="115"/>
    </row>
    <row r="337" spans="1:13" outlineLevel="1">
      <c r="A337" s="366"/>
      <c r="B337" s="367"/>
      <c r="C337" s="151"/>
      <c r="D337" s="117"/>
      <c r="E337" s="129" t="s">
        <v>194</v>
      </c>
      <c r="F337" s="132">
        <v>7.6857720109592274</v>
      </c>
      <c r="G337" s="133">
        <v>7.6519390839570116</v>
      </c>
      <c r="H337" s="133">
        <v>7.2916378982071253</v>
      </c>
      <c r="I337" s="133">
        <v>7.018673566262863</v>
      </c>
      <c r="J337" s="133">
        <v>6.7457092343185998</v>
      </c>
      <c r="K337" s="133">
        <v>6.4727449023743375</v>
      </c>
      <c r="L337" s="134">
        <v>6.1997805704300744</v>
      </c>
      <c r="M337" s="115"/>
    </row>
    <row r="338" spans="1:13" outlineLevel="1">
      <c r="A338" s="366"/>
      <c r="B338" s="367"/>
      <c r="C338" s="151"/>
      <c r="D338" s="117"/>
      <c r="E338" s="122" t="s">
        <v>195</v>
      </c>
      <c r="F338" s="135">
        <v>0.26707805555555553</v>
      </c>
      <c r="G338" s="136">
        <v>0</v>
      </c>
      <c r="H338" s="136">
        <v>0</v>
      </c>
      <c r="I338" s="136">
        <v>0</v>
      </c>
      <c r="J338" s="136">
        <v>0</v>
      </c>
      <c r="K338" s="136">
        <v>0</v>
      </c>
      <c r="L338" s="137">
        <v>0</v>
      </c>
      <c r="M338" s="115"/>
    </row>
    <row r="339" spans="1:13" outlineLevel="1">
      <c r="A339" s="366"/>
      <c r="B339" s="367"/>
      <c r="C339" s="151" t="str">
        <f t="shared" si="12"/>
        <v>Hydrogène</v>
      </c>
      <c r="D339" s="117"/>
      <c r="E339" s="122" t="s">
        <v>196</v>
      </c>
      <c r="F339" s="135">
        <v>0</v>
      </c>
      <c r="G339" s="136">
        <v>0</v>
      </c>
      <c r="H339" s="136">
        <v>0</v>
      </c>
      <c r="I339" s="136">
        <v>0</v>
      </c>
      <c r="J339" s="136">
        <v>0</v>
      </c>
      <c r="K339" s="136">
        <v>0</v>
      </c>
      <c r="L339" s="137">
        <v>0</v>
      </c>
      <c r="M339" s="115"/>
    </row>
    <row r="340" spans="1:13" ht="15" outlineLevel="1" thickBot="1">
      <c r="A340" s="366"/>
      <c r="B340" s="367"/>
      <c r="C340" s="151" t="str">
        <f>IF(ISBLANK(E340),IF(ISBLANK(F340),"",F340),E340)</f>
        <v>Total</v>
      </c>
      <c r="D340" s="117"/>
      <c r="E340" s="259" t="s">
        <v>144</v>
      </c>
      <c r="F340" s="256">
        <v>53.080807490939442</v>
      </c>
      <c r="G340" s="257">
        <v>50.781716277842889</v>
      </c>
      <c r="H340" s="257">
        <v>48.725016967554907</v>
      </c>
      <c r="I340" s="257">
        <v>47.774312781169421</v>
      </c>
      <c r="J340" s="257">
        <v>46.82287329481499</v>
      </c>
      <c r="K340" s="257">
        <v>45.870698508491635</v>
      </c>
      <c r="L340" s="258">
        <v>44.917788422199351</v>
      </c>
      <c r="M340" s="115"/>
    </row>
    <row r="341" spans="1:13" outlineLevel="1">
      <c r="A341" s="366"/>
      <c r="B341" s="367"/>
      <c r="C341" s="151" t="str">
        <f t="shared" si="12"/>
        <v>Périmètre Kyoto, SDES bilans d'énergie 2022,Projections DGEC</v>
      </c>
      <c r="D341" s="115"/>
      <c r="E341" s="616" t="s">
        <v>303</v>
      </c>
      <c r="F341" s="616"/>
      <c r="G341" s="616"/>
      <c r="H341" s="616"/>
      <c r="I341" s="616"/>
      <c r="J341" s="616"/>
      <c r="K341" s="616"/>
      <c r="L341" s="616"/>
      <c r="M341" s="115"/>
    </row>
    <row r="342" spans="1:13">
      <c r="A342" s="366"/>
      <c r="B342" s="367"/>
      <c r="C342" s="151" t="str">
        <f t="shared" si="12"/>
        <v/>
      </c>
      <c r="D342" s="115"/>
      <c r="E342" s="115"/>
      <c r="F342" s="115"/>
      <c r="G342" s="115"/>
      <c r="H342" s="115"/>
      <c r="I342" s="115"/>
      <c r="J342" s="115"/>
      <c r="K342" s="115"/>
      <c r="L342" s="115"/>
      <c r="M342" s="115"/>
    </row>
    <row r="343" spans="1:13">
      <c r="A343" s="366"/>
      <c r="B343" s="367"/>
      <c r="C343" s="151" t="str">
        <f t="shared" si="12"/>
        <v/>
      </c>
      <c r="D343" s="115"/>
      <c r="E343" s="115"/>
      <c r="F343" s="115"/>
      <c r="G343" s="115"/>
      <c r="H343" s="115"/>
      <c r="I343" s="115"/>
      <c r="J343" s="115"/>
      <c r="K343" s="115"/>
      <c r="L343" s="115"/>
      <c r="M343" s="115"/>
    </row>
    <row r="344" spans="1:13">
      <c r="A344" s="366"/>
      <c r="B344" s="367"/>
      <c r="C344" s="151" t="str">
        <f t="shared" si="12"/>
        <v/>
      </c>
      <c r="D344" s="115"/>
      <c r="E344" s="115"/>
      <c r="F344" s="115"/>
      <c r="G344" s="115"/>
      <c r="H344" s="115"/>
      <c r="I344" s="115"/>
      <c r="J344" s="115"/>
      <c r="K344" s="115"/>
      <c r="L344" s="115"/>
      <c r="M344" s="115"/>
    </row>
    <row r="345" spans="1:13">
      <c r="A345" s="366"/>
      <c r="B345" s="367"/>
      <c r="C345" s="151" t="str">
        <f t="shared" si="12"/>
        <v/>
      </c>
      <c r="D345" s="629"/>
      <c r="E345" s="629"/>
      <c r="F345" s="629"/>
    </row>
    <row r="346" spans="1:13" ht="28.8" thickBot="1">
      <c r="A346" s="366"/>
      <c r="B346" s="367"/>
      <c r="C346" s="151" t="str">
        <f t="shared" si="12"/>
        <v>Emissions de gaz à effet de serre</v>
      </c>
      <c r="D346" s="371"/>
      <c r="E346" s="372"/>
      <c r="F346" s="635" t="s">
        <v>142</v>
      </c>
      <c r="G346" s="635"/>
      <c r="H346" s="635"/>
      <c r="I346" s="635"/>
      <c r="J346" s="635"/>
      <c r="K346" s="635"/>
      <c r="L346" s="635"/>
      <c r="M346" s="635"/>
    </row>
    <row r="347" spans="1:13" ht="15" thickTop="1">
      <c r="A347" s="366"/>
      <c r="B347" s="367"/>
      <c r="C347" s="151" t="str">
        <f t="shared" si="12"/>
        <v/>
      </c>
      <c r="D347" s="208"/>
      <c r="E347" s="208"/>
      <c r="F347" s="208"/>
    </row>
    <row r="348" spans="1:13" outlineLevel="1">
      <c r="A348" s="366"/>
      <c r="B348" s="367"/>
      <c r="C348" s="151" t="str">
        <f t="shared" si="12"/>
        <v/>
      </c>
      <c r="D348" s="115"/>
      <c r="E348" s="115"/>
      <c r="F348" s="115"/>
      <c r="G348" s="115"/>
      <c r="H348" s="115"/>
      <c r="I348" s="115"/>
      <c r="J348" s="115"/>
      <c r="K348" s="115"/>
      <c r="L348" s="115"/>
      <c r="M348" s="115"/>
    </row>
    <row r="349" spans="1:13" outlineLevel="1">
      <c r="A349" s="366"/>
      <c r="B349" s="367"/>
      <c r="C349" s="151" t="str">
        <f t="shared" si="12"/>
        <v/>
      </c>
      <c r="D349" s="115"/>
      <c r="E349" s="115"/>
      <c r="F349" s="115"/>
      <c r="G349" s="115"/>
      <c r="H349" s="115"/>
      <c r="I349" s="115"/>
      <c r="J349" s="115"/>
      <c r="K349" s="115"/>
      <c r="L349" s="115"/>
      <c r="M349" s="115"/>
    </row>
    <row r="350" spans="1:13" ht="15" outlineLevel="1" thickBot="1">
      <c r="A350" s="366"/>
      <c r="B350" s="367"/>
      <c r="C350" s="151" t="str">
        <f t="shared" si="12"/>
        <v xml:space="preserve">Emissions de gaz à effet de serre </v>
      </c>
      <c r="D350" s="115"/>
      <c r="E350" s="627" t="s">
        <v>165</v>
      </c>
      <c r="F350" s="627"/>
      <c r="G350" s="627"/>
      <c r="H350" s="627"/>
      <c r="I350" s="627"/>
      <c r="J350" s="627"/>
      <c r="K350" s="627"/>
      <c r="L350" s="627"/>
      <c r="M350" s="115"/>
    </row>
    <row r="351" spans="1:13" outlineLevel="2">
      <c r="A351" s="366"/>
      <c r="B351" s="367"/>
      <c r="C351" s="151" t="str">
        <f t="shared" si="12"/>
        <v>MtCO2e</v>
      </c>
      <c r="D351" s="115"/>
      <c r="E351" s="459" t="s">
        <v>302</v>
      </c>
      <c r="F351" s="323">
        <v>2021</v>
      </c>
      <c r="G351" s="323">
        <v>2025</v>
      </c>
      <c r="H351" s="323">
        <v>2030</v>
      </c>
      <c r="I351" s="323">
        <v>2035</v>
      </c>
      <c r="J351" s="323">
        <v>2040</v>
      </c>
      <c r="K351" s="323">
        <v>2045</v>
      </c>
      <c r="L351" s="324">
        <v>2050</v>
      </c>
      <c r="M351" s="115"/>
    </row>
    <row r="352" spans="1:13" outlineLevel="2">
      <c r="A352" s="366"/>
      <c r="B352" s="367"/>
      <c r="C352" s="151"/>
      <c r="D352" s="115"/>
      <c r="E352" s="237" t="s">
        <v>144</v>
      </c>
      <c r="F352" s="260">
        <f>SUM(F353,F358,F364)</f>
        <v>76.403934099947065</v>
      </c>
      <c r="G352" s="133">
        <f>SUM(G353,G358,G364)</f>
        <v>72.63571872637668</v>
      </c>
      <c r="H352" s="133">
        <f t="shared" ref="H352:L352" si="14">SUM(H353,H358,H364)</f>
        <v>69.838705046929007</v>
      </c>
      <c r="I352" s="133">
        <f t="shared" si="14"/>
        <v>67.557276667210573</v>
      </c>
      <c r="J352" s="133">
        <f t="shared" si="14"/>
        <v>65.299599743292248</v>
      </c>
      <c r="K352" s="133">
        <f t="shared" si="14"/>
        <v>63.054679838356215</v>
      </c>
      <c r="L352" s="461">
        <f t="shared" si="14"/>
        <v>60.782561347349329</v>
      </c>
      <c r="M352" s="115"/>
    </row>
    <row r="353" spans="1:13" outlineLevel="2">
      <c r="A353" s="366"/>
      <c r="B353" s="367"/>
      <c r="C353" s="151" t="str">
        <f t="shared" ref="C353:C368" si="15">IF(ISBLANK(E353),IF(ISBLANK(F353),"",F353),E353)</f>
        <v>Elevage</v>
      </c>
      <c r="D353" s="116"/>
      <c r="E353" s="218" t="s">
        <v>374</v>
      </c>
      <c r="F353" s="212">
        <f>SUM(F354:F357)</f>
        <v>45.378469435995932</v>
      </c>
      <c r="G353" s="213">
        <f t="shared" ref="G353:L353" si="16">SUM(G354:G357)</f>
        <v>42.917279381154145</v>
      </c>
      <c r="H353" s="213">
        <f t="shared" si="16"/>
        <v>41.062617963327043</v>
      </c>
      <c r="I353" s="213">
        <f t="shared" si="16"/>
        <v>39.074475830753308</v>
      </c>
      <c r="J353" s="213">
        <f t="shared" si="16"/>
        <v>37.110696262071805</v>
      </c>
      <c r="K353" s="213">
        <f t="shared" si="16"/>
        <v>35.160889800484682</v>
      </c>
      <c r="L353" s="521">
        <f t="shared" si="16"/>
        <v>33.182408972682559</v>
      </c>
      <c r="M353" s="115"/>
    </row>
    <row r="354" spans="1:13" outlineLevel="3">
      <c r="A354" s="366"/>
      <c r="B354" s="367"/>
      <c r="C354" s="151" t="str">
        <f t="shared" si="15"/>
        <v>Bovins</v>
      </c>
      <c r="D354" s="117"/>
      <c r="E354" s="547" t="s">
        <v>64</v>
      </c>
      <c r="F354" s="135">
        <f>GES!AG95</f>
        <v>37.716385999589512</v>
      </c>
      <c r="G354" s="136">
        <f>GES!AJ95</f>
        <v>35.676205553065472</v>
      </c>
      <c r="H354" s="136">
        <f>GES!AL95</f>
        <v>33.831567846844763</v>
      </c>
      <c r="I354" s="136">
        <f>GES!AN95</f>
        <v>32.134839474191956</v>
      </c>
      <c r="J354" s="136">
        <f>GES!AP95</f>
        <v>30.447336012739282</v>
      </c>
      <c r="K354" s="136">
        <f>GES!AQ95</f>
        <v>28.769089162561066</v>
      </c>
      <c r="L354" s="463">
        <f>GES!AR95</f>
        <v>27.059347936319373</v>
      </c>
      <c r="M354" s="115"/>
    </row>
    <row r="355" spans="1:13" outlineLevel="3">
      <c r="A355" s="366"/>
      <c r="B355" s="367"/>
      <c r="C355" s="151"/>
      <c r="D355" s="117"/>
      <c r="E355" s="547" t="s">
        <v>65</v>
      </c>
      <c r="F355" s="135">
        <f>GES!AG96</f>
        <v>2.8258024681814105</v>
      </c>
      <c r="G355" s="136">
        <f>GES!AJ96</f>
        <v>2.5942835210284865</v>
      </c>
      <c r="H355" s="136">
        <f>GES!AL96</f>
        <v>2.5578057498225508</v>
      </c>
      <c r="I355" s="136">
        <f>GES!AN96</f>
        <v>2.3635203199744446</v>
      </c>
      <c r="J355" s="136">
        <f>GES!AP96</f>
        <v>2.1756534972472736</v>
      </c>
      <c r="K355" s="136">
        <f>GES!AQ96</f>
        <v>1.9942052816410369</v>
      </c>
      <c r="L355" s="463">
        <f>GES!AR96</f>
        <v>1.8191756731557354</v>
      </c>
      <c r="M355" s="115"/>
    </row>
    <row r="356" spans="1:13" outlineLevel="3">
      <c r="A356" s="366"/>
      <c r="B356" s="367"/>
      <c r="C356" s="151"/>
      <c r="D356" s="117"/>
      <c r="E356" s="547" t="s">
        <v>9</v>
      </c>
      <c r="F356" s="135">
        <f>GES!AG97</f>
        <v>0.23581357718937102</v>
      </c>
      <c r="G356" s="136">
        <f>GES!AJ97</f>
        <v>0.2319270687776363</v>
      </c>
      <c r="H356" s="136">
        <f>GES!AL97</f>
        <v>0.24850346064573384</v>
      </c>
      <c r="I356" s="136">
        <f>GES!AN97</f>
        <v>0.25029052837591964</v>
      </c>
      <c r="J356" s="136">
        <f>GES!AP97</f>
        <v>0.25207759610610542</v>
      </c>
      <c r="K356" s="136">
        <f>GES!AQ97</f>
        <v>0.25386466383629125</v>
      </c>
      <c r="L356" s="463">
        <f>GES!AR97</f>
        <v>0.25565173156647703</v>
      </c>
      <c r="M356" s="115"/>
    </row>
    <row r="357" spans="1:13" outlineLevel="3">
      <c r="A357" s="366"/>
      <c r="B357" s="367"/>
      <c r="C357" s="151"/>
      <c r="D357" s="117"/>
      <c r="E357" s="547" t="s">
        <v>66</v>
      </c>
      <c r="F357" s="135">
        <f>GES!AG98</f>
        <v>4.6004673910356431</v>
      </c>
      <c r="G357" s="136">
        <f>GES!AJ98</f>
        <v>4.4148632382825479</v>
      </c>
      <c r="H357" s="136">
        <f>GES!AL98</f>
        <v>4.4247409060139944</v>
      </c>
      <c r="I357" s="136">
        <f>GES!AN98</f>
        <v>4.3258255082109853</v>
      </c>
      <c r="J357" s="136">
        <f>GES!AP98</f>
        <v>4.2356291559791472</v>
      </c>
      <c r="K357" s="136">
        <f>GES!AQ98</f>
        <v>4.1437306924462902</v>
      </c>
      <c r="L357" s="463">
        <f>GES!AR98</f>
        <v>4.0482336316409704</v>
      </c>
      <c r="M357" s="115"/>
    </row>
    <row r="358" spans="1:13" outlineLevel="2">
      <c r="A358" s="366"/>
      <c r="B358" s="367"/>
      <c r="C358" s="151"/>
      <c r="D358" s="117"/>
      <c r="E358" s="218" t="s">
        <v>450</v>
      </c>
      <c r="F358" s="212">
        <f>SUM(F359:F363)</f>
        <v>20.693897788536979</v>
      </c>
      <c r="G358" s="213">
        <f t="shared" ref="G358:K358" si="17">SUM(G359:G363)</f>
        <v>19.449248534627376</v>
      </c>
      <c r="H358" s="213">
        <f t="shared" si="17"/>
        <v>18.98779475437258</v>
      </c>
      <c r="I358" s="213">
        <f t="shared" si="17"/>
        <v>18.945620455666941</v>
      </c>
      <c r="J358" s="213">
        <f t="shared" si="17"/>
        <v>18.902872675123522</v>
      </c>
      <c r="K358" s="213">
        <f t="shared" si="17"/>
        <v>18.859589887398247</v>
      </c>
      <c r="L358" s="521">
        <f>SUM(L359:L363)</f>
        <v>18.815332165016493</v>
      </c>
      <c r="M358" s="115"/>
    </row>
    <row r="359" spans="1:13" outlineLevel="3">
      <c r="A359" s="366"/>
      <c r="B359" s="367"/>
      <c r="C359" s="151"/>
      <c r="D359" s="117"/>
      <c r="E359" s="547" t="s">
        <v>68</v>
      </c>
      <c r="F359" s="135">
        <f>GES!AG100</f>
        <v>10.421406320421475</v>
      </c>
      <c r="G359" s="136">
        <f>GES!AJ100</f>
        <v>9.7770327684113152</v>
      </c>
      <c r="H359" s="136">
        <f>GES!AL100</f>
        <v>9.7793969459335326</v>
      </c>
      <c r="I359" s="136">
        <f>GES!AN100</f>
        <v>9.8662784567610071</v>
      </c>
      <c r="J359" s="136">
        <f>GES!AP100</f>
        <v>9.9531599675884781</v>
      </c>
      <c r="K359" s="136">
        <f>GES!AQ100</f>
        <v>10.040041478415953</v>
      </c>
      <c r="L359" s="463">
        <f>GES!AR100</f>
        <v>10.126922989243427</v>
      </c>
      <c r="M359" s="115"/>
    </row>
    <row r="360" spans="1:13" ht="26.4" customHeight="1" outlineLevel="3">
      <c r="A360" s="366"/>
      <c r="B360" s="367"/>
      <c r="C360" s="151"/>
      <c r="D360" s="117"/>
      <c r="E360" s="594" t="s">
        <v>69</v>
      </c>
      <c r="F360" s="135">
        <f>GES!AG101</f>
        <v>1.4011930049022283</v>
      </c>
      <c r="G360" s="136">
        <f>GES!AJ101</f>
        <v>1.4537830257538307</v>
      </c>
      <c r="H360" s="136">
        <f>GES!AL101</f>
        <v>1.4720671588845387</v>
      </c>
      <c r="I360" s="136">
        <f>GES!AN101</f>
        <v>1.467116877472149</v>
      </c>
      <c r="J360" s="136">
        <f>GES!AP101</f>
        <v>1.4613188365396061</v>
      </c>
      <c r="K360" s="136">
        <f>GES!AQ101</f>
        <v>1.4547037131552893</v>
      </c>
      <c r="L360" s="463">
        <f>GES!AR101</f>
        <v>1.4470398226611931</v>
      </c>
      <c r="M360" s="115"/>
    </row>
    <row r="361" spans="1:13" outlineLevel="3">
      <c r="A361" s="366"/>
      <c r="B361" s="367"/>
      <c r="C361" s="151"/>
      <c r="D361" s="117"/>
      <c r="E361" s="547" t="s">
        <v>70</v>
      </c>
      <c r="F361" s="135">
        <f>GES!AG102</f>
        <v>1.5130013311430461</v>
      </c>
      <c r="G361" s="136">
        <f>GES!AJ102</f>
        <v>1.4415043268866683</v>
      </c>
      <c r="H361" s="136">
        <f>GES!AL102</f>
        <v>1.3788781055055526</v>
      </c>
      <c r="I361" s="136">
        <f>GES!AN102</f>
        <v>1.3123272227510014</v>
      </c>
      <c r="J361" s="136">
        <f>GES!AP102</f>
        <v>1.245719533510653</v>
      </c>
      <c r="K361" s="136">
        <f>GES!AQ102</f>
        <v>1.179055037784509</v>
      </c>
      <c r="L361" s="463">
        <f>GES!AR102</f>
        <v>1.1123337355725655</v>
      </c>
      <c r="M361" s="115"/>
    </row>
    <row r="362" spans="1:13" outlineLevel="3">
      <c r="A362" s="366"/>
      <c r="B362" s="367"/>
      <c r="C362" s="151"/>
      <c r="D362" s="117"/>
      <c r="E362" s="547" t="s">
        <v>71</v>
      </c>
      <c r="F362" s="135">
        <f>GES!AG103</f>
        <v>3.2453725447811665E-2</v>
      </c>
      <c r="G362" s="136">
        <f>GES!AJ103</f>
        <v>3.0554324258041075E-2</v>
      </c>
      <c r="H362" s="136">
        <f>GES!AL103</f>
        <v>2.8450456912132542E-2</v>
      </c>
      <c r="I362" s="136">
        <f>GES!AN103</f>
        <v>2.9325172223773618E-2</v>
      </c>
      <c r="J362" s="136">
        <f>GES!AP103</f>
        <v>3.0199887535414697E-2</v>
      </c>
      <c r="K362" s="136">
        <f>GES!AQ103</f>
        <v>3.1074602847055769E-2</v>
      </c>
      <c r="L362" s="463">
        <f>GES!AR103</f>
        <v>3.1949318158696859E-2</v>
      </c>
      <c r="M362" s="115"/>
    </row>
    <row r="363" spans="1:13" outlineLevel="3">
      <c r="A363" s="366"/>
      <c r="B363" s="367"/>
      <c r="C363" s="151"/>
      <c r="D363" s="117"/>
      <c r="E363" s="547" t="s">
        <v>72</v>
      </c>
      <c r="F363" s="135">
        <f>GES!AG104</f>
        <v>7.3258434066224147</v>
      </c>
      <c r="G363" s="136">
        <f>GES!AJ104</f>
        <v>6.746374089317519</v>
      </c>
      <c r="H363" s="136">
        <f>GES!AL104</f>
        <v>6.3290020871368249</v>
      </c>
      <c r="I363" s="136">
        <f>GES!AN104</f>
        <v>6.270572726459009</v>
      </c>
      <c r="J363" s="136">
        <f>GES!AP104</f>
        <v>6.2124744499493678</v>
      </c>
      <c r="K363" s="136">
        <f>GES!AQ104</f>
        <v>6.1547150551954397</v>
      </c>
      <c r="L363" s="463">
        <f>GES!AR104</f>
        <v>6.0970862993806119</v>
      </c>
      <c r="M363" s="115"/>
    </row>
    <row r="364" spans="1:13" ht="15" outlineLevel="2" thickBot="1">
      <c r="A364" s="366"/>
      <c r="B364" s="367"/>
      <c r="C364" s="151"/>
      <c r="D364" s="117"/>
      <c r="E364" s="222" t="s">
        <v>451</v>
      </c>
      <c r="F364" s="522">
        <f>GES!AG108</f>
        <v>10.331566875414152</v>
      </c>
      <c r="G364" s="523">
        <f>GES!AJ106</f>
        <v>10.269190810595163</v>
      </c>
      <c r="H364" s="523">
        <f>GES!AL106</f>
        <v>9.7882923292293871</v>
      </c>
      <c r="I364" s="523">
        <f>GES!AN106</f>
        <v>9.5371803807903195</v>
      </c>
      <c r="J364" s="523">
        <f>GES!AP106</f>
        <v>9.286030806096921</v>
      </c>
      <c r="K364" s="523">
        <f>GES!AQ106</f>
        <v>9.0342001504732874</v>
      </c>
      <c r="L364" s="524">
        <f>GES!AR106</f>
        <v>8.7848202096502792</v>
      </c>
      <c r="M364" s="115"/>
    </row>
    <row r="365" spans="1:13" outlineLevel="2">
      <c r="A365" s="366"/>
      <c r="B365" s="367"/>
      <c r="C365" s="151" t="str">
        <f t="shared" si="15"/>
        <v>Source SECTEN 2024, projections CITEPA - CCUS comptés en puits, périmètre Kyoto</v>
      </c>
      <c r="D365" s="115"/>
      <c r="E365" s="610" t="s">
        <v>963</v>
      </c>
      <c r="F365" s="610"/>
      <c r="G365" s="610"/>
      <c r="H365" s="610"/>
      <c r="I365" s="610"/>
      <c r="J365" s="610"/>
      <c r="K365" s="610"/>
      <c r="L365" s="610"/>
      <c r="M365" s="115"/>
    </row>
    <row r="366" spans="1:13" s="283" customFormat="1" outlineLevel="4">
      <c r="A366" s="366"/>
      <c r="B366" s="367"/>
      <c r="C366" s="151"/>
      <c r="D366" s="115"/>
      <c r="E366" s="288"/>
      <c r="F366" s="288"/>
      <c r="G366" s="288"/>
      <c r="H366" s="288"/>
      <c r="I366" s="288"/>
      <c r="J366" s="288"/>
      <c r="K366" s="288"/>
      <c r="L366" s="288"/>
      <c r="M366" s="115"/>
    </row>
    <row r="367" spans="1:13" s="283" customFormat="1" outlineLevel="4">
      <c r="A367" s="366"/>
      <c r="B367" s="367"/>
      <c r="C367" s="151"/>
      <c r="D367" s="115"/>
      <c r="E367" s="288"/>
      <c r="F367" s="288"/>
      <c r="G367" s="288"/>
      <c r="H367" s="288"/>
      <c r="I367" s="288"/>
      <c r="J367" s="288"/>
      <c r="K367" s="288"/>
      <c r="L367" s="288"/>
      <c r="M367" s="115"/>
    </row>
    <row r="368" spans="1:13" outlineLevel="1">
      <c r="A368" s="366"/>
      <c r="B368" s="367"/>
      <c r="C368" s="151" t="str">
        <f t="shared" si="15"/>
        <v/>
      </c>
      <c r="D368" s="115"/>
      <c r="E368" s="115"/>
      <c r="F368" s="115"/>
      <c r="G368" s="115"/>
      <c r="H368" s="115"/>
      <c r="I368" s="115"/>
      <c r="J368" s="115"/>
      <c r="K368" s="115"/>
      <c r="L368" s="115"/>
      <c r="M368" s="115"/>
    </row>
  </sheetData>
  <mergeCells count="89">
    <mergeCell ref="E111:L111"/>
    <mergeCell ref="E36:L36"/>
    <mergeCell ref="E8:L8"/>
    <mergeCell ref="F89:M89"/>
    <mergeCell ref="E92:L92"/>
    <mergeCell ref="E94:L94"/>
    <mergeCell ref="E38:L38"/>
    <mergeCell ref="E57:L57"/>
    <mergeCell ref="E59:L59"/>
    <mergeCell ref="E78:L78"/>
    <mergeCell ref="E80:L80"/>
    <mergeCell ref="E109:L109"/>
    <mergeCell ref="E85:L86"/>
    <mergeCell ref="D88:F88"/>
    <mergeCell ref="O3:Q3"/>
    <mergeCell ref="R3:T3"/>
    <mergeCell ref="F11:M11"/>
    <mergeCell ref="E15:L15"/>
    <mergeCell ref="E17:L17"/>
    <mergeCell ref="E1:M1"/>
    <mergeCell ref="E3:I3"/>
    <mergeCell ref="J3:M3"/>
    <mergeCell ref="F5:G5"/>
    <mergeCell ref="H5:I5"/>
    <mergeCell ref="J5:K5"/>
    <mergeCell ref="L5:M5"/>
    <mergeCell ref="F4:G4"/>
    <mergeCell ref="H4:I4"/>
    <mergeCell ref="J4:K4"/>
    <mergeCell ref="L4:M4"/>
    <mergeCell ref="F261:M261"/>
    <mergeCell ref="E270:L270"/>
    <mergeCell ref="E144:L145"/>
    <mergeCell ref="E154:L155"/>
    <mergeCell ref="E114:L114"/>
    <mergeCell ref="E116:L116"/>
    <mergeCell ref="E119:L120"/>
    <mergeCell ref="E129:L129"/>
    <mergeCell ref="E134:L135"/>
    <mergeCell ref="E137:L137"/>
    <mergeCell ref="E221:L221"/>
    <mergeCell ref="E162:L162"/>
    <mergeCell ref="E180:L180"/>
    <mergeCell ref="E182:L182"/>
    <mergeCell ref="E190:L190"/>
    <mergeCell ref="E192:L192"/>
    <mergeCell ref="E253:L253"/>
    <mergeCell ref="E255:L255"/>
    <mergeCell ref="E258:L258"/>
    <mergeCell ref="E250:L250"/>
    <mergeCell ref="E201:L201"/>
    <mergeCell ref="E203:L203"/>
    <mergeCell ref="E209:L209"/>
    <mergeCell ref="E211:L211"/>
    <mergeCell ref="E216:L216"/>
    <mergeCell ref="E265:L265"/>
    <mergeCell ref="E279:L279"/>
    <mergeCell ref="E277:L277"/>
    <mergeCell ref="E308:L308"/>
    <mergeCell ref="E268:L268"/>
    <mergeCell ref="E286:L286"/>
    <mergeCell ref="E291:L291"/>
    <mergeCell ref="E288:L288"/>
    <mergeCell ref="E293:L293"/>
    <mergeCell ref="E299:L299"/>
    <mergeCell ref="E297:L297"/>
    <mergeCell ref="E365:L365"/>
    <mergeCell ref="E341:L341"/>
    <mergeCell ref="D345:F345"/>
    <mergeCell ref="F346:M346"/>
    <mergeCell ref="E350:L350"/>
    <mergeCell ref="E321:L321"/>
    <mergeCell ref="E312:L312"/>
    <mergeCell ref="F315:M315"/>
    <mergeCell ref="E319:L319"/>
    <mergeCell ref="D311:G311"/>
    <mergeCell ref="E122:L122"/>
    <mergeCell ref="E127:L127"/>
    <mergeCell ref="E243:L243"/>
    <mergeCell ref="E248:L248"/>
    <mergeCell ref="E235:L235"/>
    <mergeCell ref="E241:L241"/>
    <mergeCell ref="E223:L223"/>
    <mergeCell ref="E226:L226"/>
    <mergeCell ref="E228:L228"/>
    <mergeCell ref="E233:L233"/>
    <mergeCell ref="E147:L147"/>
    <mergeCell ref="F157:M157"/>
    <mergeCell ref="E218:L2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Spinner 1">
              <controlPr defaultSize="0" autoPict="0">
                <anchor moveWithCells="1" sizeWithCells="1">
                  <from>
                    <xdr:col>13</xdr:col>
                    <xdr:colOff>617220</xdr:colOff>
                    <xdr:row>3</xdr:row>
                    <xdr:rowOff>0</xdr:rowOff>
                  </from>
                  <to>
                    <xdr:col>13</xdr:col>
                    <xdr:colOff>861060</xdr:colOff>
                    <xdr:row>5</xdr:row>
                    <xdr:rowOff>0</xdr:rowOff>
                  </to>
                </anchor>
              </controlPr>
            </control>
          </mc:Choice>
        </mc:AlternateContent>
        <mc:AlternateContent xmlns:mc="http://schemas.openxmlformats.org/markup-compatibility/2006">
          <mc:Choice Requires="x14">
            <control shapeId="38914" r:id="rId5" name="Spinner 2">
              <controlPr defaultSize="0" autoPict="0">
                <anchor moveWithCells="1" sizeWithCells="1">
                  <from>
                    <xdr:col>3</xdr:col>
                    <xdr:colOff>236220</xdr:colOff>
                    <xdr:row>3</xdr:row>
                    <xdr:rowOff>0</xdr:rowOff>
                  </from>
                  <to>
                    <xdr:col>3</xdr:col>
                    <xdr:colOff>480060</xdr:colOff>
                    <xdr:row>4</xdr:row>
                    <xdr:rowOff>327660</xdr:rowOff>
                  </to>
                </anchor>
              </controlPr>
            </control>
          </mc:Choice>
        </mc:AlternateContent>
      </controls>
    </mc:Choice>
  </mc:AlternateContent>
  <tableParts count="3">
    <tablePart r:id="rId6"/>
    <tablePart r:id="rId7"/>
    <tablePart r:id="rId8"/>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849AE"/>
  </sheetPr>
  <dimension ref="A1:V272"/>
  <sheetViews>
    <sheetView showGridLines="0" zoomScale="85" zoomScaleNormal="85" workbookViewId="0">
      <pane ySplit="6" topLeftCell="A7" activePane="bottomLeft" state="frozen"/>
      <selection pane="bottomLeft" activeCell="E15" sqref="E15:L15"/>
    </sheetView>
  </sheetViews>
  <sheetFormatPr baseColWidth="10" defaultRowHeight="14.4" outlineLevelRow="4"/>
  <cols>
    <col min="1" max="1" width="3.109375" customWidth="1"/>
    <col min="2" max="2" width="3.109375" style="114" customWidth="1"/>
    <col min="3" max="3" width="3.109375" customWidth="1"/>
    <col min="4" max="4" width="7.33203125" customWidth="1"/>
    <col min="5" max="5" width="32.6640625" bestFit="1" customWidth="1"/>
    <col min="8" max="8" width="11.5546875" customWidth="1"/>
    <col min="10" max="10" width="11.5546875" customWidth="1"/>
    <col min="13" max="13" width="10.88671875" customWidth="1"/>
    <col min="14" max="14" width="12.5546875" customWidth="1"/>
    <col min="15" max="15" width="13.5546875" customWidth="1"/>
    <col min="16" max="16" width="13" customWidth="1"/>
  </cols>
  <sheetData>
    <row r="1" spans="1:20" ht="25.95" customHeight="1" thickBot="1">
      <c r="D1" s="368"/>
      <c r="E1" s="619" t="s">
        <v>306</v>
      </c>
      <c r="F1" s="619"/>
      <c r="G1" s="619"/>
      <c r="H1" s="619"/>
      <c r="I1" s="619"/>
      <c r="J1" s="619"/>
      <c r="K1" s="619"/>
      <c r="L1" s="619"/>
      <c r="M1" s="619"/>
    </row>
    <row r="2" spans="1:20" ht="10.95" customHeight="1" thickTop="1">
      <c r="D2" s="2"/>
      <c r="E2" s="150"/>
      <c r="F2" s="150"/>
      <c r="G2" s="150"/>
      <c r="H2" s="150"/>
      <c r="I2" s="150"/>
      <c r="J2" s="150"/>
      <c r="K2" s="150"/>
      <c r="L2" s="150"/>
      <c r="M2" s="150"/>
    </row>
    <row r="3" spans="1:20" ht="28.95" customHeight="1">
      <c r="D3" s="2"/>
      <c r="E3" s="620" t="str">
        <f>HYPERLINK("#Energie!E"&amp;TEXT(MATCH(E8,C1:C1108,0),"#"),E8)</f>
        <v>Hypothèses</v>
      </c>
      <c r="F3" s="621"/>
      <c r="G3" s="621"/>
      <c r="H3" s="621"/>
      <c r="I3" s="621"/>
      <c r="J3" s="631" t="str">
        <f>HYPERLINK("#Energie!E"&amp;TEXT(MATCH(E252,C1:C1108,0),"#"),E252)</f>
        <v>Résultats</v>
      </c>
      <c r="K3" s="631"/>
      <c r="L3" s="631"/>
      <c r="M3" s="631"/>
      <c r="O3" s="623" t="s">
        <v>181</v>
      </c>
      <c r="P3" s="623"/>
      <c r="Q3" s="623"/>
      <c r="R3" s="628" t="s">
        <v>137</v>
      </c>
      <c r="S3" s="628"/>
      <c r="T3" s="628"/>
    </row>
    <row r="4" spans="1:20" ht="26.4" customHeight="1">
      <c r="D4" s="184"/>
      <c r="E4" s="357" t="str">
        <f>IF(Moteur!$D$14=3,HYPERLINK("#"&amp;$E$1&amp;"!E"&amp;TEXT(MATCH(Moteur!F23,$C1:$C1108,0),"#"),Moteur!F23),IF(Moteur!$D$14=2,HYPERLINK("#"&amp;$E$1&amp;"!E"&amp;TEXT(MATCH(Moteur!F24,$C1:$C1108,0),"#"),Moteur!F24),HYPERLINK("#"&amp;$E$1&amp;"!E"&amp;TEXT(MATCH(Moteur!F25,$C1:$C1108,0),"#"),Moteur!F25)))</f>
        <v>Production d'électricité</v>
      </c>
      <c r="F4" s="624" t="str">
        <f>IF(Moteur!$D$14=3,HYPERLINK("#"&amp;$E$1&amp;"!E"&amp;TEXT(MATCH(Moteur!G23,$C1:$C1108,0),"#"),Moteur!G23),IF(Moteur!$D$14=2,HYPERLINK("#"&amp;$E$1&amp;"!E"&amp;TEXT(MATCH(Moteur!G24,$C1:$C1108,0),"#"),Moteur!G24),HYPERLINK("#"&amp;$E$1&amp;"!E"&amp;TEXT(MATCH(Moteur!G25,$C1:$C1108,0),"#"),Moteur!G25)))</f>
        <v>Production de chaleur</v>
      </c>
      <c r="G4" s="625"/>
      <c r="H4" s="624" t="str">
        <f>IF(Moteur!$D$14=3,HYPERLINK("#"&amp;$E$1&amp;"!E"&amp;TEXT(MATCH(Moteur!H23,$C1:$C1108,0),"#"),Moteur!H23),IF(Moteur!$D$14=2,HYPERLINK("#"&amp;$E$1&amp;"!E"&amp;TEXT(MATCH(Moteur!H24,$C1:$C1108,0),"#"),Moteur!H24),HYPERLINK("#"&amp;$E$1&amp;"!E"&amp;TEXT(MATCH(Moteur!H25,$C1:$C1108,0),"#"),Moteur!H25)))</f>
        <v>Cogénération</v>
      </c>
      <c r="I4" s="625"/>
      <c r="J4" s="632" t="str">
        <f>HYPERLINK("#"&amp;$E$1&amp;"!E"&amp;TEXT(MATCH(F255,$C1:$C1108,0),"#"),F255)</f>
        <v>Emissions de gaz à effet de serre</v>
      </c>
      <c r="K4" s="633"/>
      <c r="L4" s="640" t="str">
        <f>IFERROR(HYPERLINK("#"&amp;$E$1&amp;"!E"&amp;TEXT(MATCH(#REF!,$C1:$C1108,0),"#"),#REF!),"")</f>
        <v/>
      </c>
      <c r="M4" s="633"/>
      <c r="O4" s="359" t="str">
        <f>IF(Moteur!$D$6=3,HYPERLINK("#"&amp;Moteur!F5&amp;"!E1",Moteur!F5),IF(Moteur!$D$6=2,HYPERLINK("#"&amp;Moteur!F6&amp;"!E1",Moteur!F6),HYPERLINK("#"&amp;Moteur!F7&amp;"!E1",Moteur!F7)))</f>
        <v>Cadrage</v>
      </c>
      <c r="P4" s="359" t="str">
        <f>IF(Moteur!$D$6=3,HYPERLINK("#"&amp;Moteur!G5&amp;"!E1",Moteur!G5),IF(Moteur!$D$6=2,HYPERLINK("#"&amp;Moteur!G6&amp;"!E1",Moteur!G6),HYPERLINK("#"&amp;Moteur!G7&amp;"!E1",Moteur!G7)))</f>
        <v>Industrie</v>
      </c>
      <c r="Q4" s="360" t="str">
        <f>IF(Moteur!$D$6=3,HYPERLINK("#"&amp;Moteur!H5&amp;"!E1",Moteur!H5),IF(Moteur!$D$6=2,HYPERLINK("#"&amp;Moteur!H6&amp;"!E1",Moteur!H6),HYPERLINK("#"&amp;Moteur!H7&amp;"!E1",Moteur!H7)))</f>
        <v>Agriculture</v>
      </c>
      <c r="R4" s="362" t="str">
        <f>IF(Moteur!$D$6=3,HYPERLINK("#"&amp;Moteur!J5&amp;"!E1",Moteur!J5),IF(Moteur!$D$6=2,HYPERLINK("#"&amp;Moteur!J5&amp;"!E1",Moteur!J5),HYPERLINK("#"&amp;Moteur!J5&amp;"!E1",Moteur!J5)))</f>
        <v>Bilans</v>
      </c>
      <c r="S4" s="358" t="str">
        <f>IF(Moteur!$D$6=3,HYPERLINK("#"&amp;Moteur!K5&amp;"!E1",Moteur!K5),IF(Moteur!$D$6=2,HYPERLINK("#"&amp;Moteur!K5&amp;"!E1",Moteur!K5),HYPERLINK("#"&amp;Moteur!K5&amp;"!E1",Moteur!K5)))</f>
        <v>GES</v>
      </c>
      <c r="T4" s="478">
        <f>IF(Moteur!$D$6=3,HYPERLINK("#"&amp;Moteur!L5&amp;"!E1",Moteur!L5),IF(Moteur!$D$6=2,HYPERLINK("#"&amp;Moteur!L5&amp;"!E1",Moteur!L5),HYPERLINK("#"&amp;Moteur!L5&amp;"!E1",Moteur!L5)))</f>
        <v>0</v>
      </c>
    </row>
    <row r="5" spans="1:20" ht="26.4" customHeight="1">
      <c r="D5" s="184"/>
      <c r="E5" s="357" t="str">
        <f>IFERROR(IF(Moteur!$D$14=3,HYPERLINK("#"&amp;$E$1&amp;"!E"&amp;TEXT(MATCH(Moteur!F24,$C1:$C1108,0),"#"),Moteur!F24),IF(Moteur!$D$14=2,HYPERLINK("#"&amp;$E$1&amp;"!E"&amp;TEXT(MATCH(Moteur!F25,$C1:$C1108,0),"#"),Moteur!F25),HYPERLINK("#"&amp;$E$1&amp;"!E"&amp;TEXT(MATCH(Moteur!F26,$C1:$C1108,0),"#"),Moteur!F26))),"")</f>
        <v>Consommation de biocombustibles et de carburants de synthèse</v>
      </c>
      <c r="F5" s="624" t="str">
        <f>IFERROR(IF(Moteur!$D$14=3,HYPERLINK("#"&amp;$E$1&amp;"!E"&amp;TEXT(MATCH(Moteur!G24,$C1:$C1108,0),"#"),Moteur!G24),IF(Moteur!$D$14=2,HYPERLINK("#"&amp;$E$1&amp;"!E"&amp;TEXT(MATCH(Moteur!G25,$C1:$C1108,0),"#"),Moteur!G25),HYPERLINK("#"&amp;$E$1&amp;"!E"&amp;TEXT(MATCH(Moteur!G26,$C1:$C1108,0),"#"),Moteur!G26))),"")</f>
        <v/>
      </c>
      <c r="G5" s="625"/>
      <c r="H5" s="624" t="str">
        <f>IFERROR(IF(Moteur!$D$14=3,HYPERLINK("#"&amp;$E$1&amp;"!E"&amp;TEXT(MATCH(Moteur!H24,$C1:$C1108,0),"#"),Moteur!H24),IF(Moteur!$D$14=2,HYPERLINK("#"&amp;$E$1&amp;"!E"&amp;TEXT(MATCH(Moteur!H25,$C1:$C1108,0),"#"),Moteur!H25),HYPERLINK("#"&amp;$E$1&amp;"!E"&amp;TEXT(MATCH(Moteur!H26,$C1:$C1108,0),"#"),Moteur!H26))),"")</f>
        <v/>
      </c>
      <c r="I5" s="625"/>
      <c r="J5" s="632"/>
      <c r="K5" s="633"/>
      <c r="L5" s="632"/>
      <c r="M5" s="633"/>
      <c r="O5" s="359" t="str">
        <f>IF(Moteur!$D$6=3,HYPERLINK("#"&amp;Moteur!F6&amp;"!E1",Moteur!F6),IF(Moteur!$D$6=2,HYPERLINK("#"&amp;Moteur!F7&amp;"!E1",Moteur!F7),""))</f>
        <v>Energie</v>
      </c>
      <c r="P5" s="359" t="str">
        <f>IF(Moteur!$D$6=3,HYPERLINK("#"&amp;Moteur!G6&amp;"!E1",Moteur!G6),IF(Moteur!$D$6=2,HYPERLINK("#"&amp;Moteur!G7&amp;"!E1",Moteur!G7),""))</f>
        <v>Transports</v>
      </c>
      <c r="Q5" s="361" t="str">
        <f>IF(Moteur!$D$6=3,HYPERLINK("#"&amp;Moteur!H6&amp;"!E1",Moteur!H6),IF(Moteur!$D$6=2,HYPERLINK("#"&amp;Moteur!H7&amp;"!E1",Moteur!H7),""))</f>
        <v>Déchets</v>
      </c>
      <c r="R5" s="479">
        <f>IF(Moteur!$D$6=3,HYPERLINK("#"&amp;Moteur!J6&amp;"!E1",Moteur!J6),IF(Moteur!$D$6=2,HYPERLINK("#"&amp;Moteur!J7&amp;"!E1",Moteur!J6),HYPERLINK("#"&amp;Moteur!J5&amp;"!E1",Moteur!J6)))</f>
        <v>0</v>
      </c>
      <c r="S5" s="358" t="str">
        <f>IF(Moteur!$D$6=3,HYPERLINK("#"&amp;Moteur!K6&amp;"!E1",Moteur!K6),IF(Moteur!$D$6=2,HYPERLINK("#"&amp;Moteur!K7&amp;"!E1",Moteur!K6),HYPERLINK("#"&amp;Moteur!K5&amp;"!E1",Moteur!K6)))</f>
        <v xml:space="preserve"> </v>
      </c>
      <c r="T5" s="358" t="str">
        <f>IF(Moteur!$D$6=3,HYPERLINK("#"&amp;Moteur!L6&amp;"!E1",Moteur!L6),IF(Moteur!$D$6=2,HYPERLINK("#"&amp;Moteur!L7&amp;"!E1",Moteur!L6),HYPERLINK("#"&amp;Moteur!L5&amp;"!E1",Moteur!L6)))</f>
        <v xml:space="preserve"> </v>
      </c>
    </row>
    <row r="6" spans="1:20" ht="11.4" customHeight="1">
      <c r="E6" s="152"/>
      <c r="F6" s="152"/>
      <c r="G6" s="152"/>
      <c r="H6" s="152"/>
      <c r="I6" s="152"/>
      <c r="J6" s="152"/>
      <c r="K6" s="152"/>
    </row>
    <row r="8" spans="1:20" ht="32.4" customHeight="1" thickBot="1">
      <c r="A8" s="363"/>
      <c r="C8" s="151" t="str">
        <f>IF(ISBLANK(E8),IF(ISBLANK(F8),"",F8),E8)</f>
        <v>Hypothèses</v>
      </c>
      <c r="D8" s="369"/>
      <c r="E8" s="617" t="s">
        <v>134</v>
      </c>
      <c r="F8" s="617"/>
      <c r="G8" s="617"/>
      <c r="H8" s="617"/>
      <c r="I8" s="617"/>
      <c r="J8" s="617"/>
      <c r="K8" s="617"/>
      <c r="L8" s="617"/>
      <c r="M8" s="369"/>
      <c r="N8" s="149"/>
    </row>
    <row r="9" spans="1:20" ht="15" thickTop="1">
      <c r="A9" s="363"/>
      <c r="C9" s="151" t="str">
        <f t="shared" ref="C9:C32" si="0">IF(ISBLANK(E9),IF(ISBLANK(F9),"",F9),E9)</f>
        <v/>
      </c>
      <c r="D9" s="3"/>
      <c r="E9" s="3"/>
      <c r="F9" s="3"/>
      <c r="G9" s="3"/>
      <c r="H9" s="3"/>
      <c r="I9" s="3"/>
      <c r="J9" s="3"/>
      <c r="K9" s="3"/>
      <c r="L9" s="3"/>
      <c r="M9" s="3"/>
    </row>
    <row r="10" spans="1:20" ht="14.4" customHeight="1">
      <c r="A10" s="363"/>
      <c r="C10" s="151" t="str">
        <f t="shared" si="0"/>
        <v/>
      </c>
      <c r="D10" s="112"/>
      <c r="E10" s="113"/>
      <c r="F10" s="113"/>
      <c r="G10" s="113"/>
      <c r="H10" s="113"/>
      <c r="I10" s="113"/>
      <c r="J10" s="113"/>
      <c r="K10" s="113"/>
      <c r="L10" s="113"/>
      <c r="M10" s="3"/>
    </row>
    <row r="11" spans="1:20" ht="28.8" thickBot="1">
      <c r="A11" s="363"/>
      <c r="B11" s="364"/>
      <c r="C11" s="151" t="str">
        <f t="shared" si="0"/>
        <v>Production d'électricité</v>
      </c>
      <c r="D11" s="369"/>
      <c r="E11" s="370"/>
      <c r="F11" s="617" t="s">
        <v>13</v>
      </c>
      <c r="G11" s="617"/>
      <c r="H11" s="617"/>
      <c r="I11" s="617"/>
      <c r="J11" s="617"/>
      <c r="K11" s="617"/>
      <c r="L11" s="617"/>
      <c r="M11" s="617"/>
    </row>
    <row r="12" spans="1:20" ht="13.2" customHeight="1" thickTop="1">
      <c r="A12" s="363"/>
      <c r="B12" s="365"/>
      <c r="C12" s="151" t="str">
        <f t="shared" si="0"/>
        <v/>
      </c>
      <c r="D12" s="203"/>
      <c r="E12" s="203"/>
      <c r="F12" s="203"/>
    </row>
    <row r="13" spans="1:20" outlineLevel="1">
      <c r="A13" s="363"/>
      <c r="B13" s="365"/>
      <c r="C13" s="151" t="str">
        <f t="shared" si="0"/>
        <v/>
      </c>
      <c r="D13" s="115"/>
      <c r="E13" s="115"/>
      <c r="F13" s="115"/>
      <c r="G13" s="115"/>
      <c r="H13" s="115"/>
      <c r="I13" s="115"/>
      <c r="J13" s="115"/>
      <c r="K13" s="115"/>
      <c r="L13" s="115"/>
      <c r="M13" s="115"/>
    </row>
    <row r="14" spans="1:20" ht="19.2" outlineLevel="1">
      <c r="A14" s="363"/>
      <c r="B14" s="365"/>
      <c r="C14" s="151" t="str">
        <f t="shared" si="0"/>
        <v xml:space="preserve">Commentaire
IGCE = 
Diffus = </v>
      </c>
      <c r="D14" s="115"/>
      <c r="E14" s="611" t="s">
        <v>140</v>
      </c>
      <c r="F14" s="612"/>
      <c r="G14" s="612"/>
      <c r="H14" s="612"/>
      <c r="I14" s="612"/>
      <c r="J14" s="612"/>
      <c r="K14" s="612"/>
      <c r="L14" s="612"/>
      <c r="M14" s="115"/>
    </row>
    <row r="15" spans="1:20" ht="279" customHeight="1" outlineLevel="1">
      <c r="A15" s="363"/>
      <c r="B15" s="365"/>
      <c r="C15" s="151" t="str">
        <f t="shared" si="0"/>
        <v xml:space="preserve">Les hypothèses de production d'électricité se basent sur les rythmes d'installation suivants : 
• Eolien offshore : Tendanciel au rythme d'1 GW/an
• Eolien terrestre : Tendanciel du rythme de développement des 3 dernières années à 1,3 GW/an
• Photovoltaïque : Tendanciel du rythme de développement des 3 dernières années à 2,8 GW/an
• Hydraulique : Gardé constant 2023 (valeur bilan électrique 2023 RTE)
• Biomasse électrique : Gardé constant 2023 (valeur bilan électrique 2023 RTE).
• Déchets : Gardé constant 2023 (valeur bilan électrique 2023 RTE)
• Nucléaire existant : la fermeture de Fessenheim et la mise en service de l'EPR de Flamanville en 2024 (avec une première année de production complète en 2025) sont intégrées. Pour les réacteurs existants, l’hypothèse est faite d’une poursuite du fonctionnement jusqu'à 60 ans et de deux fermetures à la visite décennale n°5 d'ici 2035 et deux autres fermetures supplémentaires entre 2035 et 2040. Pas d'upgrading.
• Nouveau nucléaire : Construction de 6 réacteurs EPR2 pour une capacité de 9,9 GW ; Déploiement de petits réacteurs modulaires (SMR) et innovants (AMR) pour 1 GW de capacités installées en 2050
• Fioul : Gardé constant 2023 (valeur bilan électrique 2023 RTE) jusqu'à sortie du fioul en 2030
• Charbon : Gardé constant 2023 (valeur bilan électrique 2023 RTE) jusqu'à sortie du charbon en 2027
• Gaz : Gardé constant 2023 (valeur bilan électrique 2023 RTE)
</v>
      </c>
      <c r="D15" s="115"/>
      <c r="E15" s="613" t="s">
        <v>821</v>
      </c>
      <c r="F15" s="614"/>
      <c r="G15" s="614"/>
      <c r="H15" s="614"/>
      <c r="I15" s="614"/>
      <c r="J15" s="614"/>
      <c r="K15" s="614"/>
      <c r="L15" s="614"/>
      <c r="M15" s="115"/>
    </row>
    <row r="16" spans="1:20" ht="15" customHeight="1" outlineLevel="1">
      <c r="A16" s="363"/>
      <c r="B16" s="365"/>
      <c r="C16" s="151" t="str">
        <f t="shared" si="0"/>
        <v/>
      </c>
      <c r="D16" s="115"/>
      <c r="E16" s="115"/>
      <c r="F16" s="115"/>
      <c r="G16" s="115"/>
      <c r="H16" s="115"/>
      <c r="I16" s="115"/>
      <c r="J16" s="115"/>
      <c r="K16" s="115"/>
      <c r="L16" s="115"/>
      <c r="M16" s="115"/>
    </row>
    <row r="17" spans="1:15" ht="15" customHeight="1" outlineLevel="1" thickBot="1">
      <c r="A17" s="363"/>
      <c r="B17" s="365"/>
      <c r="C17" s="151" t="str">
        <f t="shared" si="0"/>
        <v>Production d'électricité (TWh)</v>
      </c>
      <c r="D17" s="115"/>
      <c r="E17" s="615" t="s">
        <v>509</v>
      </c>
      <c r="F17" s="615"/>
      <c r="G17" s="615"/>
      <c r="H17" s="615"/>
      <c r="I17" s="615"/>
      <c r="J17" s="615"/>
      <c r="K17" s="615"/>
      <c r="L17" s="615"/>
      <c r="M17" s="115"/>
    </row>
    <row r="18" spans="1:15" outlineLevel="1">
      <c r="A18" s="363"/>
      <c r="B18" s="365"/>
      <c r="C18" s="151" t="str">
        <f t="shared" si="0"/>
        <v>TWh</v>
      </c>
      <c r="D18" s="115"/>
      <c r="E18" s="119" t="s">
        <v>184</v>
      </c>
      <c r="F18" s="130">
        <v>2021</v>
      </c>
      <c r="G18" s="130">
        <v>2025</v>
      </c>
      <c r="H18" s="130">
        <v>2030</v>
      </c>
      <c r="I18" s="130">
        <v>2035</v>
      </c>
      <c r="J18" s="130">
        <v>2040</v>
      </c>
      <c r="K18" s="130">
        <v>2045</v>
      </c>
      <c r="L18" s="131">
        <v>2050</v>
      </c>
      <c r="M18" s="115"/>
    </row>
    <row r="19" spans="1:15" outlineLevel="1">
      <c r="A19" s="363"/>
      <c r="B19" s="365"/>
      <c r="C19" s="151" t="str">
        <f t="shared" si="0"/>
        <v>Eolien terrestre</v>
      </c>
      <c r="D19" s="115"/>
      <c r="E19" s="265" t="s">
        <v>510</v>
      </c>
      <c r="F19" s="212" t="s">
        <v>553</v>
      </c>
      <c r="G19" s="213" t="s">
        <v>519</v>
      </c>
      <c r="H19" s="213" t="s">
        <v>520</v>
      </c>
      <c r="I19" s="213" t="s">
        <v>521</v>
      </c>
      <c r="J19" s="213" t="s">
        <v>522</v>
      </c>
      <c r="K19" s="213" t="s">
        <v>523</v>
      </c>
      <c r="L19" s="266" t="s">
        <v>524</v>
      </c>
      <c r="M19" s="115"/>
      <c r="O19" s="283"/>
    </row>
    <row r="20" spans="1:15" outlineLevel="1">
      <c r="A20" s="363"/>
      <c r="B20" s="365"/>
      <c r="C20" s="151" t="str">
        <f t="shared" si="0"/>
        <v>Eolien offshore</v>
      </c>
      <c r="D20" s="115"/>
      <c r="E20" s="265" t="s">
        <v>511</v>
      </c>
      <c r="F20" s="212" t="s">
        <v>554</v>
      </c>
      <c r="G20" s="213" t="s">
        <v>525</v>
      </c>
      <c r="H20" s="213" t="s">
        <v>526</v>
      </c>
      <c r="I20" s="213" t="s">
        <v>527</v>
      </c>
      <c r="J20" s="213" t="s">
        <v>528</v>
      </c>
      <c r="K20" s="213" t="s">
        <v>529</v>
      </c>
      <c r="L20" s="266" t="s">
        <v>530</v>
      </c>
      <c r="M20" s="115"/>
    </row>
    <row r="21" spans="1:15" ht="14.4" customHeight="1" outlineLevel="1">
      <c r="A21" s="363"/>
      <c r="B21" s="365"/>
      <c r="C21" s="151" t="str">
        <f t="shared" si="0"/>
        <v>PV</v>
      </c>
      <c r="D21" s="115"/>
      <c r="E21" s="265" t="s">
        <v>512</v>
      </c>
      <c r="F21" s="212" t="s">
        <v>555</v>
      </c>
      <c r="G21" s="213" t="s">
        <v>531</v>
      </c>
      <c r="H21" s="213" t="s">
        <v>532</v>
      </c>
      <c r="I21" s="213" t="s">
        <v>533</v>
      </c>
      <c r="J21" s="213" t="s">
        <v>534</v>
      </c>
      <c r="K21" s="213" t="s">
        <v>535</v>
      </c>
      <c r="L21" s="266" t="s">
        <v>536</v>
      </c>
      <c r="M21" s="115"/>
    </row>
    <row r="22" spans="1:15" ht="14.4" customHeight="1" outlineLevel="1">
      <c r="A22" s="363"/>
      <c r="B22" s="365"/>
      <c r="C22" s="151" t="str">
        <f t="shared" si="0"/>
        <v>Hydraulique</v>
      </c>
      <c r="D22" s="115"/>
      <c r="E22" s="265" t="s">
        <v>513</v>
      </c>
      <c r="F22" s="212" t="s">
        <v>556</v>
      </c>
      <c r="G22" s="213" t="s">
        <v>537</v>
      </c>
      <c r="H22" s="213" t="s">
        <v>537</v>
      </c>
      <c r="I22" s="213" t="s">
        <v>537</v>
      </c>
      <c r="J22" s="213" t="s">
        <v>537</v>
      </c>
      <c r="K22" s="213" t="s">
        <v>537</v>
      </c>
      <c r="L22" s="266" t="s">
        <v>537</v>
      </c>
      <c r="M22" s="115"/>
    </row>
    <row r="23" spans="1:15" ht="14.4" customHeight="1" outlineLevel="1">
      <c r="A23" s="363"/>
      <c r="B23" s="365"/>
      <c r="C23" s="151" t="str">
        <f t="shared" si="0"/>
        <v>Biomasse élec</v>
      </c>
      <c r="D23" s="115"/>
      <c r="E23" s="265" t="s">
        <v>514</v>
      </c>
      <c r="F23" s="212" t="s">
        <v>557</v>
      </c>
      <c r="G23" s="213" t="s">
        <v>538</v>
      </c>
      <c r="H23" s="213" t="s">
        <v>538</v>
      </c>
      <c r="I23" s="213" t="s">
        <v>538</v>
      </c>
      <c r="J23" s="213" t="s">
        <v>538</v>
      </c>
      <c r="K23" s="213" t="s">
        <v>538</v>
      </c>
      <c r="L23" s="266" t="s">
        <v>538</v>
      </c>
      <c r="M23" s="115"/>
    </row>
    <row r="24" spans="1:15">
      <c r="A24" s="363"/>
      <c r="B24" s="365"/>
      <c r="C24" s="151" t="str">
        <f t="shared" si="0"/>
        <v>Nucléaire existant</v>
      </c>
      <c r="D24" s="115"/>
      <c r="E24" s="265" t="s">
        <v>515</v>
      </c>
      <c r="F24" s="212" t="s">
        <v>558</v>
      </c>
      <c r="G24" s="213" t="s">
        <v>539</v>
      </c>
      <c r="H24" s="213" t="s">
        <v>540</v>
      </c>
      <c r="I24" s="213" t="s">
        <v>541</v>
      </c>
      <c r="J24" s="213" t="s">
        <v>542</v>
      </c>
      <c r="K24" s="213" t="s">
        <v>543</v>
      </c>
      <c r="L24" s="266" t="s">
        <v>544</v>
      </c>
      <c r="M24" s="115"/>
    </row>
    <row r="25" spans="1:15" ht="14.4" customHeight="1" outlineLevel="1">
      <c r="A25" s="363"/>
      <c r="B25" s="365"/>
      <c r="C25" s="151" t="str">
        <f t="shared" si="0"/>
        <v>Nouveau nucléaire</v>
      </c>
      <c r="D25" s="115"/>
      <c r="E25" s="265" t="s">
        <v>516</v>
      </c>
      <c r="F25" s="212" t="s">
        <v>549</v>
      </c>
      <c r="G25" s="213">
        <v>0</v>
      </c>
      <c r="H25" s="213">
        <v>0</v>
      </c>
      <c r="I25" s="213">
        <v>0</v>
      </c>
      <c r="J25" s="213" t="s">
        <v>545</v>
      </c>
      <c r="K25" s="213" t="s">
        <v>546</v>
      </c>
      <c r="L25" s="266" t="s">
        <v>547</v>
      </c>
      <c r="M25" s="115"/>
    </row>
    <row r="26" spans="1:15">
      <c r="A26" s="363"/>
      <c r="B26" s="365"/>
      <c r="C26" s="151" t="str">
        <f t="shared" si="0"/>
        <v>Fioul</v>
      </c>
      <c r="D26" s="115"/>
      <c r="E26" s="265" t="s">
        <v>517</v>
      </c>
      <c r="F26" s="212" t="s">
        <v>559</v>
      </c>
      <c r="G26" s="213" t="s">
        <v>548</v>
      </c>
      <c r="H26" s="213" t="s">
        <v>549</v>
      </c>
      <c r="I26" s="213">
        <v>0</v>
      </c>
      <c r="J26" s="213">
        <v>0</v>
      </c>
      <c r="K26" s="213">
        <v>0</v>
      </c>
      <c r="L26" s="266">
        <v>0</v>
      </c>
      <c r="M26" s="115"/>
    </row>
    <row r="27" spans="1:15" outlineLevel="1">
      <c r="A27" s="363"/>
      <c r="B27" s="365"/>
      <c r="C27" s="151" t="str">
        <f t="shared" si="0"/>
        <v>Charbon</v>
      </c>
      <c r="D27" s="115"/>
      <c r="E27" s="265" t="s">
        <v>185</v>
      </c>
      <c r="F27" s="212" t="s">
        <v>560</v>
      </c>
      <c r="G27" s="213" t="s">
        <v>550</v>
      </c>
      <c r="H27" s="213" t="s">
        <v>549</v>
      </c>
      <c r="I27" s="213">
        <v>0</v>
      </c>
      <c r="J27" s="213">
        <v>0</v>
      </c>
      <c r="K27" s="213">
        <v>0</v>
      </c>
      <c r="L27" s="266">
        <v>0</v>
      </c>
      <c r="M27" s="115"/>
    </row>
    <row r="28" spans="1:15" outlineLevel="1">
      <c r="A28" s="363"/>
      <c r="B28" s="365"/>
      <c r="C28" s="151" t="str">
        <f t="shared" si="0"/>
        <v>Gaz</v>
      </c>
      <c r="D28" s="115"/>
      <c r="E28" s="265" t="s">
        <v>518</v>
      </c>
      <c r="F28" s="212" t="s">
        <v>561</v>
      </c>
      <c r="G28" s="213" t="s">
        <v>551</v>
      </c>
      <c r="H28" s="213" t="s">
        <v>551</v>
      </c>
      <c r="I28" s="213" t="s">
        <v>551</v>
      </c>
      <c r="J28" s="213" t="s">
        <v>551</v>
      </c>
      <c r="K28" s="213" t="s">
        <v>551</v>
      </c>
      <c r="L28" s="266" t="s">
        <v>551</v>
      </c>
      <c r="M28" s="115"/>
    </row>
    <row r="29" spans="1:15" outlineLevel="1">
      <c r="A29" s="363"/>
      <c r="B29" s="365"/>
      <c r="C29" s="151" t="str">
        <f t="shared" si="0"/>
        <v>Déchets</v>
      </c>
      <c r="D29" s="116"/>
      <c r="E29" s="265" t="s">
        <v>24</v>
      </c>
      <c r="F29" s="212" t="s">
        <v>562</v>
      </c>
      <c r="G29" s="213" t="s">
        <v>552</v>
      </c>
      <c r="H29" s="213" t="s">
        <v>552</v>
      </c>
      <c r="I29" s="213" t="s">
        <v>552</v>
      </c>
      <c r="J29" s="213" t="s">
        <v>552</v>
      </c>
      <c r="K29" s="213" t="s">
        <v>552</v>
      </c>
      <c r="L29" s="266" t="s">
        <v>552</v>
      </c>
      <c r="M29" s="115"/>
    </row>
    <row r="30" spans="1:15" ht="15" outlineLevel="1" thickBot="1">
      <c r="A30" s="363"/>
      <c r="B30" s="365"/>
      <c r="C30" s="151" t="str">
        <f t="shared" si="0"/>
        <v>Total</v>
      </c>
      <c r="D30" s="117"/>
      <c r="E30" s="265" t="s">
        <v>144</v>
      </c>
      <c r="F30" s="212">
        <v>456</v>
      </c>
      <c r="G30" s="213">
        <v>580</v>
      </c>
      <c r="H30" s="213">
        <v>622</v>
      </c>
      <c r="I30" s="213">
        <v>666</v>
      </c>
      <c r="J30" s="213">
        <v>729</v>
      </c>
      <c r="K30" s="213">
        <v>703</v>
      </c>
      <c r="L30" s="266">
        <v>625</v>
      </c>
      <c r="M30" s="115"/>
    </row>
    <row r="31" spans="1:15" outlineLevel="1">
      <c r="A31" s="363"/>
      <c r="B31" s="365"/>
      <c r="C31" s="151" t="str">
        <f t="shared" si="0"/>
        <v>Périmètre Continental</v>
      </c>
      <c r="D31" s="115"/>
      <c r="E31" s="616" t="s">
        <v>818</v>
      </c>
      <c r="F31" s="616"/>
      <c r="G31" s="616"/>
      <c r="H31" s="616"/>
      <c r="I31" s="616"/>
      <c r="J31" s="616"/>
      <c r="K31" s="616"/>
      <c r="L31" s="616"/>
      <c r="M31" s="115"/>
    </row>
    <row r="32" spans="1:15">
      <c r="A32" s="363"/>
      <c r="B32" s="365"/>
      <c r="C32" s="151" t="str">
        <f t="shared" si="0"/>
        <v/>
      </c>
      <c r="D32" s="115"/>
      <c r="E32" s="115"/>
      <c r="F32" s="115"/>
      <c r="G32" s="115"/>
      <c r="H32" s="115"/>
      <c r="I32" s="115"/>
      <c r="J32" s="115"/>
      <c r="K32" s="115"/>
      <c r="L32" s="115"/>
      <c r="M32" s="115"/>
    </row>
    <row r="33" spans="1:13" outlineLevel="1">
      <c r="A33" s="363"/>
      <c r="B33" s="365"/>
      <c r="C33" s="151" t="str">
        <f t="shared" ref="C33:C57" si="1">IF(ISBLANK(E33),IF(ISBLANK(F33),"",F33),E33)</f>
        <v/>
      </c>
      <c r="D33" s="115"/>
      <c r="E33" s="142"/>
      <c r="F33" s="142"/>
      <c r="G33" s="142"/>
      <c r="H33" s="142"/>
      <c r="I33" s="142"/>
      <c r="J33" s="142"/>
      <c r="K33" s="142"/>
      <c r="L33" s="142"/>
      <c r="M33" s="115"/>
    </row>
    <row r="34" spans="1:13" outlineLevel="1">
      <c r="A34" s="363"/>
      <c r="B34" s="365"/>
      <c r="C34" s="151" t="str">
        <f t="shared" si="1"/>
        <v/>
      </c>
      <c r="D34" s="115"/>
      <c r="E34" s="142"/>
      <c r="F34" s="142"/>
      <c r="G34" s="142"/>
      <c r="H34" s="142"/>
      <c r="I34" s="142"/>
      <c r="J34" s="142"/>
      <c r="K34" s="142"/>
      <c r="L34" s="142"/>
      <c r="M34" s="115"/>
    </row>
    <row r="35" spans="1:13" ht="28.8" thickBot="1">
      <c r="A35" s="363"/>
      <c r="B35" s="365"/>
      <c r="C35" s="151" t="str">
        <f t="shared" si="1"/>
        <v>Production de chaleur</v>
      </c>
      <c r="D35" s="369"/>
      <c r="E35" s="370"/>
      <c r="F35" s="617" t="s">
        <v>210</v>
      </c>
      <c r="G35" s="617"/>
      <c r="H35" s="617"/>
      <c r="I35" s="617"/>
      <c r="J35" s="617"/>
      <c r="K35" s="617"/>
      <c r="L35" s="617"/>
      <c r="M35" s="617"/>
    </row>
    <row r="36" spans="1:13" ht="15" thickTop="1">
      <c r="A36" s="363"/>
      <c r="B36" s="365"/>
      <c r="C36" s="151" t="str">
        <f t="shared" si="1"/>
        <v/>
      </c>
      <c r="D36" s="203"/>
      <c r="E36" s="203"/>
      <c r="F36" s="203"/>
    </row>
    <row r="37" spans="1:13" outlineLevel="1">
      <c r="A37" s="363"/>
      <c r="B37" s="365"/>
      <c r="C37" s="151" t="str">
        <f t="shared" si="1"/>
        <v/>
      </c>
      <c r="D37" s="115"/>
      <c r="E37" s="115"/>
      <c r="F37" s="115"/>
      <c r="G37" s="115"/>
      <c r="H37" s="115"/>
      <c r="I37" s="115"/>
      <c r="J37" s="115"/>
      <c r="K37" s="115"/>
      <c r="L37" s="115"/>
      <c r="M37" s="115"/>
    </row>
    <row r="38" spans="1:13" ht="19.2" outlineLevel="1">
      <c r="A38" s="363"/>
      <c r="B38" s="365"/>
      <c r="C38" s="151" t="str">
        <f t="shared" si="1"/>
        <v xml:space="preserve">Commentaire
IGCE = 
Diffus = </v>
      </c>
      <c r="D38" s="115"/>
      <c r="E38" s="611" t="s">
        <v>140</v>
      </c>
      <c r="F38" s="612"/>
      <c r="G38" s="612"/>
      <c r="H38" s="612"/>
      <c r="I38" s="612"/>
      <c r="J38" s="612"/>
      <c r="K38" s="612"/>
      <c r="L38" s="612"/>
      <c r="M38" s="115"/>
    </row>
    <row r="39" spans="1:13" ht="19.2" customHeight="1" outlineLevel="1">
      <c r="A39" s="363"/>
      <c r="B39" s="365"/>
      <c r="C39" s="151" t="str">
        <f t="shared" si="1"/>
        <v>La production de chaleur est considérée égale à la demande issue des modélisations des différents secteurs.</v>
      </c>
      <c r="D39" s="115"/>
      <c r="E39" s="613" t="s">
        <v>817</v>
      </c>
      <c r="F39" s="614"/>
      <c r="G39" s="614"/>
      <c r="H39" s="614"/>
      <c r="I39" s="614"/>
      <c r="J39" s="614"/>
      <c r="K39" s="614"/>
      <c r="L39" s="614"/>
      <c r="M39" s="115"/>
    </row>
    <row r="40" spans="1:13" outlineLevel="1">
      <c r="A40" s="363"/>
      <c r="B40" s="365"/>
      <c r="C40" s="151" t="str">
        <f t="shared" si="1"/>
        <v/>
      </c>
      <c r="D40" s="115"/>
      <c r="E40" s="142"/>
      <c r="F40" s="142"/>
      <c r="G40" s="142"/>
      <c r="H40" s="142"/>
      <c r="I40" s="142"/>
      <c r="J40" s="142"/>
      <c r="K40" s="142"/>
      <c r="L40" s="142"/>
      <c r="M40" s="115"/>
    </row>
    <row r="41" spans="1:13" outlineLevel="1">
      <c r="A41" s="363"/>
      <c r="B41" s="365"/>
      <c r="C41" s="151" t="str">
        <f t="shared" si="1"/>
        <v/>
      </c>
      <c r="D41" s="115"/>
      <c r="E41" s="142"/>
      <c r="F41" s="142"/>
      <c r="G41" s="142"/>
      <c r="H41" s="142"/>
      <c r="I41" s="142"/>
      <c r="J41" s="142"/>
      <c r="K41" s="142"/>
      <c r="L41" s="142"/>
      <c r="M41" s="115"/>
    </row>
    <row r="42" spans="1:13" ht="15" outlineLevel="1" thickBot="1">
      <c r="A42" s="363"/>
      <c r="B42" s="365"/>
      <c r="C42" s="151" t="str">
        <f t="shared" si="1"/>
        <v>Mix énergétique de la chaleur vendue dans les réseaux de chaleur et de froid (%)</v>
      </c>
      <c r="D42" s="115"/>
      <c r="E42" s="615" t="s">
        <v>819</v>
      </c>
      <c r="F42" s="615"/>
      <c r="G42" s="615"/>
      <c r="H42" s="615"/>
      <c r="I42" s="615"/>
      <c r="J42" s="615"/>
      <c r="K42" s="615"/>
      <c r="L42" s="615"/>
      <c r="M42" s="115"/>
    </row>
    <row r="43" spans="1:13" outlineLevel="2">
      <c r="A43" s="363"/>
      <c r="B43" s="365"/>
      <c r="C43" s="151" t="str">
        <f t="shared" si="1"/>
        <v>%</v>
      </c>
      <c r="D43" s="115"/>
      <c r="E43" s="119" t="s">
        <v>121</v>
      </c>
      <c r="F43" s="130">
        <v>2022</v>
      </c>
      <c r="G43" s="130">
        <v>2025</v>
      </c>
      <c r="H43" s="130">
        <v>2030</v>
      </c>
      <c r="I43" s="130">
        <v>2035</v>
      </c>
      <c r="J43" s="130">
        <v>2040</v>
      </c>
      <c r="K43" s="130">
        <v>2045</v>
      </c>
      <c r="L43" s="131">
        <v>2050</v>
      </c>
      <c r="M43" s="115"/>
    </row>
    <row r="44" spans="1:13" outlineLevel="2">
      <c r="A44" s="363"/>
      <c r="B44" s="365"/>
      <c r="C44" s="151" t="str">
        <f t="shared" si="1"/>
        <v>Produits charbonniers</v>
      </c>
      <c r="D44" s="115"/>
      <c r="E44" s="179" t="s">
        <v>565</v>
      </c>
      <c r="F44" s="177">
        <v>1.4999999999999999E-2</v>
      </c>
      <c r="G44" s="174">
        <v>0</v>
      </c>
      <c r="H44" s="174">
        <v>0</v>
      </c>
      <c r="I44" s="174">
        <v>0</v>
      </c>
      <c r="J44" s="174">
        <v>0</v>
      </c>
      <c r="K44" s="174">
        <v>0</v>
      </c>
      <c r="L44" s="205">
        <v>0</v>
      </c>
      <c r="M44" s="115"/>
    </row>
    <row r="45" spans="1:13" outlineLevel="2">
      <c r="A45" s="363"/>
      <c r="B45" s="365"/>
      <c r="C45" s="151" t="str">
        <f t="shared" si="1"/>
        <v>Produits pétroliers</v>
      </c>
      <c r="D45" s="115"/>
      <c r="E45" s="179" t="s">
        <v>280</v>
      </c>
      <c r="F45" s="177">
        <v>2E-3</v>
      </c>
      <c r="G45" s="174">
        <v>0</v>
      </c>
      <c r="H45" s="174">
        <v>0</v>
      </c>
      <c r="I45" s="174">
        <v>0</v>
      </c>
      <c r="J45" s="174">
        <v>0</v>
      </c>
      <c r="K45" s="174">
        <v>0</v>
      </c>
      <c r="L45" s="205">
        <v>0</v>
      </c>
      <c r="M45" s="115"/>
    </row>
    <row r="46" spans="1:13" outlineLevel="2">
      <c r="A46" s="363"/>
      <c r="B46" s="365"/>
      <c r="C46" s="151" t="str">
        <f t="shared" si="1"/>
        <v>Gaz</v>
      </c>
      <c r="D46" s="115"/>
      <c r="E46" s="179" t="s">
        <v>518</v>
      </c>
      <c r="F46" s="177">
        <v>0.376</v>
      </c>
      <c r="G46" s="174">
        <v>0.37</v>
      </c>
      <c r="H46" s="174">
        <v>0.35</v>
      </c>
      <c r="I46" s="174">
        <v>0.35</v>
      </c>
      <c r="J46" s="174">
        <v>0.35</v>
      </c>
      <c r="K46" s="174">
        <v>0.35</v>
      </c>
      <c r="L46" s="205">
        <v>0.35</v>
      </c>
      <c r="M46" s="115"/>
    </row>
    <row r="47" spans="1:13" outlineLevel="2">
      <c r="A47" s="363"/>
      <c r="B47" s="365"/>
      <c r="C47" s="151" t="str">
        <f t="shared" si="1"/>
        <v>Déchets</v>
      </c>
      <c r="D47" s="115"/>
      <c r="E47" s="179" t="s">
        <v>24</v>
      </c>
      <c r="F47" s="177">
        <v>0.28000000000000003</v>
      </c>
      <c r="G47" s="174">
        <v>0.28999999999999998</v>
      </c>
      <c r="H47" s="174">
        <v>0.3</v>
      </c>
      <c r="I47" s="174">
        <v>0.3</v>
      </c>
      <c r="J47" s="174">
        <v>0.3</v>
      </c>
      <c r="K47" s="174">
        <v>0.3</v>
      </c>
      <c r="L47" s="205">
        <v>0.3</v>
      </c>
      <c r="M47" s="115"/>
    </row>
    <row r="48" spans="1:13" outlineLevel="2">
      <c r="A48" s="363"/>
      <c r="B48" s="365"/>
      <c r="C48" s="151" t="str">
        <f t="shared" si="1"/>
        <v>Biomasse solide</v>
      </c>
      <c r="D48" s="115"/>
      <c r="E48" s="179" t="s">
        <v>197</v>
      </c>
      <c r="F48" s="177">
        <v>0.248</v>
      </c>
      <c r="G48" s="174">
        <v>0.26</v>
      </c>
      <c r="H48" s="174">
        <v>0.27</v>
      </c>
      <c r="I48" s="174">
        <v>0.27</v>
      </c>
      <c r="J48" s="174">
        <v>0.27</v>
      </c>
      <c r="K48" s="174">
        <v>0.27</v>
      </c>
      <c r="L48" s="205">
        <v>0.27</v>
      </c>
      <c r="M48" s="115"/>
    </row>
    <row r="49" spans="1:13" ht="15" outlineLevel="2" thickBot="1">
      <c r="A49" s="363"/>
      <c r="B49" s="365"/>
      <c r="C49" s="151" t="str">
        <f t="shared" si="1"/>
        <v>Autres EnR thermiques</v>
      </c>
      <c r="D49" s="115"/>
      <c r="E49" s="179" t="s">
        <v>566</v>
      </c>
      <c r="F49" s="267">
        <v>0.08</v>
      </c>
      <c r="G49" s="176">
        <v>0.08</v>
      </c>
      <c r="H49" s="176">
        <v>0.08</v>
      </c>
      <c r="I49" s="176">
        <v>0.08</v>
      </c>
      <c r="J49" s="176">
        <v>0.08</v>
      </c>
      <c r="K49" s="176">
        <v>0.08</v>
      </c>
      <c r="L49" s="268">
        <v>0.08</v>
      </c>
      <c r="M49" s="115"/>
    </row>
    <row r="50" spans="1:13" outlineLevel="2">
      <c r="A50" s="363"/>
      <c r="B50" s="365"/>
      <c r="C50" s="151" t="str">
        <f t="shared" si="1"/>
        <v/>
      </c>
      <c r="D50" s="115"/>
      <c r="E50" s="616"/>
      <c r="F50" s="616"/>
      <c r="G50" s="616"/>
      <c r="H50" s="616"/>
      <c r="I50" s="616"/>
      <c r="J50" s="616"/>
      <c r="K50" s="616"/>
      <c r="L50" s="616"/>
      <c r="M50" s="115"/>
    </row>
    <row r="51" spans="1:13" outlineLevel="1">
      <c r="A51" s="363"/>
      <c r="B51" s="365"/>
      <c r="C51" s="151" t="str">
        <f t="shared" si="1"/>
        <v/>
      </c>
      <c r="D51" s="115"/>
      <c r="E51" s="142"/>
      <c r="F51" s="142"/>
      <c r="G51" s="142"/>
      <c r="H51" s="142"/>
      <c r="I51" s="142"/>
      <c r="J51" s="142"/>
      <c r="K51" s="142"/>
      <c r="L51" s="142"/>
      <c r="M51" s="115"/>
    </row>
    <row r="52" spans="1:13" ht="15" outlineLevel="1" thickBot="1">
      <c r="A52" s="363"/>
      <c r="B52" s="365"/>
      <c r="C52" s="151" t="str">
        <f t="shared" si="1"/>
        <v>Mix énergétique de la chaleur vendue hors des réseaux de chaleur et de froid (%)</v>
      </c>
      <c r="D52" s="115"/>
      <c r="E52" s="615" t="s">
        <v>820</v>
      </c>
      <c r="F52" s="615"/>
      <c r="G52" s="615"/>
      <c r="H52" s="615"/>
      <c r="I52" s="615"/>
      <c r="J52" s="615"/>
      <c r="K52" s="615"/>
      <c r="L52" s="615"/>
      <c r="M52" s="115"/>
    </row>
    <row r="53" spans="1:13" outlineLevel="2">
      <c r="A53" s="363"/>
      <c r="B53" s="365"/>
      <c r="C53" s="151" t="str">
        <f t="shared" si="1"/>
        <v>%</v>
      </c>
      <c r="D53" s="115"/>
      <c r="E53" s="119" t="s">
        <v>121</v>
      </c>
      <c r="F53" s="130">
        <v>2022</v>
      </c>
      <c r="G53" s="130">
        <v>2025</v>
      </c>
      <c r="H53" s="130">
        <v>2030</v>
      </c>
      <c r="I53" s="130">
        <v>2035</v>
      </c>
      <c r="J53" s="130">
        <v>2040</v>
      </c>
      <c r="K53" s="130">
        <v>2045</v>
      </c>
      <c r="L53" s="131">
        <v>2050</v>
      </c>
      <c r="M53" s="115"/>
    </row>
    <row r="54" spans="1:13" outlineLevel="2">
      <c r="A54" s="363"/>
      <c r="B54" s="365"/>
      <c r="C54" s="151" t="str">
        <f t="shared" si="1"/>
        <v>Produits charbonniers</v>
      </c>
      <c r="D54" s="115"/>
      <c r="E54" s="179" t="s">
        <v>565</v>
      </c>
      <c r="F54" s="177">
        <v>1.0999999999999999E-2</v>
      </c>
      <c r="G54" s="174">
        <v>0.01</v>
      </c>
      <c r="H54" s="174">
        <v>0</v>
      </c>
      <c r="I54" s="174">
        <v>0</v>
      </c>
      <c r="J54" s="174">
        <v>0</v>
      </c>
      <c r="K54" s="174">
        <v>0</v>
      </c>
      <c r="L54" s="205">
        <v>0</v>
      </c>
      <c r="M54" s="115"/>
    </row>
    <row r="55" spans="1:13" outlineLevel="2">
      <c r="A55" s="363"/>
      <c r="B55" s="365"/>
      <c r="C55" s="151" t="str">
        <f t="shared" si="1"/>
        <v>Produits pétroliers</v>
      </c>
      <c r="D55" s="115"/>
      <c r="E55" s="179" t="s">
        <v>280</v>
      </c>
      <c r="F55" s="177">
        <v>2E-3</v>
      </c>
      <c r="G55" s="174">
        <v>0</v>
      </c>
      <c r="H55" s="174">
        <v>0</v>
      </c>
      <c r="I55" s="174">
        <v>0</v>
      </c>
      <c r="J55" s="174">
        <v>0</v>
      </c>
      <c r="K55" s="174">
        <v>0</v>
      </c>
      <c r="L55" s="205">
        <v>0</v>
      </c>
      <c r="M55" s="115"/>
    </row>
    <row r="56" spans="1:13" outlineLevel="2">
      <c r="A56" s="363"/>
      <c r="B56" s="365"/>
      <c r="C56" s="151" t="str">
        <f t="shared" si="1"/>
        <v>Gaz</v>
      </c>
      <c r="D56" s="115"/>
      <c r="E56" s="179" t="s">
        <v>518</v>
      </c>
      <c r="F56" s="177">
        <v>0.37</v>
      </c>
      <c r="G56" s="174">
        <v>0.38</v>
      </c>
      <c r="H56" s="174">
        <v>0.38</v>
      </c>
      <c r="I56" s="174">
        <v>0.38</v>
      </c>
      <c r="J56" s="174">
        <v>0.38</v>
      </c>
      <c r="K56" s="174">
        <v>0.38</v>
      </c>
      <c r="L56" s="205">
        <v>0.38</v>
      </c>
      <c r="M56" s="115"/>
    </row>
    <row r="57" spans="1:13" outlineLevel="2">
      <c r="A57" s="363"/>
      <c r="B57" s="365"/>
      <c r="C57" s="151" t="str">
        <f t="shared" si="1"/>
        <v>Déchets</v>
      </c>
      <c r="D57" s="115"/>
      <c r="E57" s="179" t="s">
        <v>24</v>
      </c>
      <c r="F57" s="177">
        <v>0.28999999999999998</v>
      </c>
      <c r="G57" s="174">
        <v>0.30499999999999994</v>
      </c>
      <c r="H57" s="174">
        <v>0.31</v>
      </c>
      <c r="I57" s="174">
        <v>0.31</v>
      </c>
      <c r="J57" s="174">
        <v>0.31</v>
      </c>
      <c r="K57" s="174">
        <v>0.31</v>
      </c>
      <c r="L57" s="205">
        <v>0.31</v>
      </c>
      <c r="M57" s="115"/>
    </row>
    <row r="58" spans="1:13" outlineLevel="2">
      <c r="A58" s="363"/>
      <c r="B58" s="365"/>
      <c r="C58" s="151" t="str">
        <f t="shared" ref="C58:C61" si="2">IF(ISBLANK(E58),IF(ISBLANK(F58),"",F58),E58)</f>
        <v>Biomasse solide</v>
      </c>
      <c r="D58" s="115"/>
      <c r="E58" s="179" t="s">
        <v>197</v>
      </c>
      <c r="F58" s="177">
        <v>0.26400000000000001</v>
      </c>
      <c r="G58" s="174">
        <v>0.26</v>
      </c>
      <c r="H58" s="174">
        <v>0.26</v>
      </c>
      <c r="I58" s="174">
        <v>0.26</v>
      </c>
      <c r="J58" s="174">
        <v>0.26</v>
      </c>
      <c r="K58" s="174">
        <v>0.26</v>
      </c>
      <c r="L58" s="205">
        <v>0.26</v>
      </c>
      <c r="M58" s="115"/>
    </row>
    <row r="59" spans="1:13" ht="15" outlineLevel="2" thickBot="1">
      <c r="A59" s="363"/>
      <c r="B59" s="365"/>
      <c r="C59" s="151" t="str">
        <f t="shared" si="2"/>
        <v>Autres EnR thermiques</v>
      </c>
      <c r="D59" s="115"/>
      <c r="E59" s="179" t="s">
        <v>566</v>
      </c>
      <c r="F59" s="267">
        <v>6.2E-2</v>
      </c>
      <c r="G59" s="176">
        <v>0.05</v>
      </c>
      <c r="H59" s="176">
        <v>0.05</v>
      </c>
      <c r="I59" s="176">
        <v>0.05</v>
      </c>
      <c r="J59" s="176">
        <v>0.05</v>
      </c>
      <c r="K59" s="176">
        <v>0.05</v>
      </c>
      <c r="L59" s="268">
        <v>0.05</v>
      </c>
      <c r="M59" s="115"/>
    </row>
    <row r="60" spans="1:13" outlineLevel="2">
      <c r="A60" s="363"/>
      <c r="B60" s="365"/>
      <c r="C60" s="151" t="str">
        <f t="shared" si="2"/>
        <v/>
      </c>
      <c r="D60" s="115"/>
      <c r="E60" s="616"/>
      <c r="F60" s="616"/>
      <c r="G60" s="616"/>
      <c r="H60" s="616"/>
      <c r="I60" s="616"/>
      <c r="J60" s="616"/>
      <c r="K60" s="616"/>
      <c r="L60" s="616"/>
      <c r="M60" s="115"/>
    </row>
    <row r="61" spans="1:13" outlineLevel="1">
      <c r="A61" s="363"/>
      <c r="B61" s="365"/>
      <c r="C61" s="151" t="str">
        <f t="shared" si="2"/>
        <v/>
      </c>
      <c r="D61" s="115"/>
      <c r="E61" s="142"/>
      <c r="F61" s="142"/>
      <c r="G61" s="142"/>
      <c r="H61" s="142"/>
      <c r="I61" s="142"/>
      <c r="J61" s="142"/>
      <c r="K61" s="142"/>
      <c r="L61" s="142"/>
      <c r="M61" s="115"/>
    </row>
    <row r="62" spans="1:13" outlineLevel="1">
      <c r="A62" s="363"/>
      <c r="B62" s="365"/>
      <c r="C62" s="151"/>
      <c r="D62" s="115"/>
      <c r="E62" s="142"/>
      <c r="F62" s="142"/>
      <c r="G62" s="142"/>
      <c r="H62" s="142"/>
      <c r="I62" s="142"/>
      <c r="J62" s="142"/>
      <c r="K62" s="142"/>
      <c r="L62" s="142"/>
      <c r="M62" s="115"/>
    </row>
    <row r="63" spans="1:13" outlineLevel="1">
      <c r="A63" s="363"/>
      <c r="B63" s="365"/>
      <c r="C63" s="151"/>
      <c r="D63" s="115"/>
      <c r="E63" s="142"/>
      <c r="F63" s="142"/>
      <c r="G63" s="142"/>
      <c r="H63" s="142"/>
      <c r="I63" s="142"/>
      <c r="J63" s="142"/>
      <c r="K63" s="142"/>
      <c r="L63" s="142"/>
      <c r="M63" s="115"/>
    </row>
    <row r="64" spans="1:13" ht="28.8" thickBot="1">
      <c r="A64" s="363"/>
      <c r="B64" s="365"/>
      <c r="C64" s="151" t="str">
        <f t="shared" ref="C64:C127" si="3">IF(ISBLANK(E64),IF(ISBLANK(F64),"",F64),E64)</f>
        <v>Cogénération</v>
      </c>
      <c r="D64" s="369"/>
      <c r="E64" s="370"/>
      <c r="F64" s="617" t="s">
        <v>567</v>
      </c>
      <c r="G64" s="617"/>
      <c r="H64" s="617"/>
      <c r="I64" s="617"/>
      <c r="J64" s="617"/>
      <c r="K64" s="617"/>
      <c r="L64" s="617"/>
      <c r="M64" s="617"/>
    </row>
    <row r="65" spans="1:15" ht="15" thickTop="1">
      <c r="A65" s="363"/>
      <c r="B65" s="365"/>
      <c r="C65" s="151" t="str">
        <f t="shared" si="3"/>
        <v/>
      </c>
      <c r="D65" s="203"/>
      <c r="E65" s="203"/>
      <c r="F65" s="203"/>
    </row>
    <row r="66" spans="1:15" outlineLevel="1">
      <c r="A66" s="363"/>
      <c r="B66" s="365"/>
      <c r="C66" s="151" t="str">
        <f t="shared" si="3"/>
        <v/>
      </c>
      <c r="D66" s="115"/>
      <c r="E66" s="115"/>
      <c r="F66" s="115"/>
      <c r="G66" s="115"/>
      <c r="H66" s="115"/>
      <c r="I66" s="115"/>
      <c r="J66" s="115"/>
      <c r="K66" s="115"/>
      <c r="L66" s="115"/>
      <c r="M66" s="115"/>
    </row>
    <row r="67" spans="1:15" ht="15.6" customHeight="1" outlineLevel="1">
      <c r="A67" s="363"/>
      <c r="B67" s="365"/>
      <c r="C67" s="151" t="str">
        <f t="shared" si="3"/>
        <v xml:space="preserve">Commentaire
IGCE = 
Diffus = </v>
      </c>
      <c r="D67" s="115"/>
      <c r="E67" s="611" t="s">
        <v>140</v>
      </c>
      <c r="F67" s="612"/>
      <c r="G67" s="612"/>
      <c r="H67" s="612"/>
      <c r="I67" s="612"/>
      <c r="J67" s="612"/>
      <c r="K67" s="612"/>
      <c r="L67" s="612"/>
      <c r="M67" s="115"/>
    </row>
    <row r="68" spans="1:15" ht="14.4" customHeight="1" outlineLevel="1">
      <c r="A68" s="363"/>
      <c r="B68" s="365"/>
      <c r="C68" s="151" t="str">
        <f t="shared" si="3"/>
        <v/>
      </c>
      <c r="D68" s="115"/>
      <c r="E68" s="613"/>
      <c r="F68" s="614"/>
      <c r="G68" s="614"/>
      <c r="H68" s="614"/>
      <c r="I68" s="614"/>
      <c r="J68" s="614"/>
      <c r="K68" s="614"/>
      <c r="L68" s="614"/>
      <c r="M68" s="115"/>
    </row>
    <row r="69" spans="1:15" outlineLevel="1">
      <c r="A69" s="363"/>
      <c r="B69" s="365"/>
      <c r="C69" s="151" t="str">
        <f t="shared" si="3"/>
        <v/>
      </c>
      <c r="D69" s="115"/>
      <c r="E69" s="142"/>
      <c r="F69" s="142"/>
      <c r="G69" s="142"/>
      <c r="H69" s="142"/>
      <c r="I69" s="142"/>
      <c r="J69" s="142"/>
      <c r="K69" s="142"/>
      <c r="L69" s="142"/>
      <c r="M69" s="115"/>
    </row>
    <row r="70" spans="1:15" ht="15" outlineLevel="1" thickBot="1">
      <c r="A70" s="363"/>
      <c r="B70" s="365"/>
      <c r="C70" s="151" t="str">
        <f t="shared" si="3"/>
        <v>Rendements cogénération</v>
      </c>
      <c r="D70" s="115"/>
      <c r="E70" s="627" t="s">
        <v>574</v>
      </c>
      <c r="F70" s="627"/>
      <c r="G70" s="627"/>
      <c r="H70" s="627"/>
      <c r="I70" s="627"/>
      <c r="J70" s="627"/>
      <c r="K70" s="627"/>
      <c r="L70" s="627"/>
      <c r="M70" s="115"/>
    </row>
    <row r="71" spans="1:15" outlineLevel="2">
      <c r="A71" s="363"/>
      <c r="B71" s="365"/>
      <c r="C71" s="151" t="str">
        <f t="shared" si="3"/>
        <v>%</v>
      </c>
      <c r="D71" s="115"/>
      <c r="E71" s="322" t="s">
        <v>121</v>
      </c>
      <c r="F71" s="494">
        <v>2019</v>
      </c>
      <c r="G71" s="494">
        <v>2025</v>
      </c>
      <c r="H71" s="494">
        <v>2030</v>
      </c>
      <c r="I71" s="494">
        <v>2035</v>
      </c>
      <c r="J71" s="494">
        <v>2040</v>
      </c>
      <c r="K71" s="494">
        <v>2045</v>
      </c>
      <c r="L71" s="495">
        <v>2050</v>
      </c>
      <c r="M71" s="115"/>
    </row>
    <row r="72" spans="1:15" outlineLevel="2">
      <c r="A72" s="363"/>
      <c r="B72" s="365"/>
      <c r="C72" s="151" t="str">
        <f t="shared" si="3"/>
        <v>Biomasse (électricité)</v>
      </c>
      <c r="D72" s="115"/>
      <c r="E72" s="330" t="s">
        <v>568</v>
      </c>
      <c r="F72" s="177">
        <v>0.3</v>
      </c>
      <c r="G72" s="174"/>
      <c r="H72" s="174">
        <v>0.3</v>
      </c>
      <c r="I72" s="174"/>
      <c r="J72" s="174"/>
      <c r="K72" s="174"/>
      <c r="L72" s="331">
        <v>0.33</v>
      </c>
      <c r="M72" s="115"/>
      <c r="O72" s="379"/>
    </row>
    <row r="73" spans="1:15" outlineLevel="2">
      <c r="A73" s="363"/>
      <c r="B73" s="365"/>
      <c r="C73" s="151" t="str">
        <f t="shared" si="3"/>
        <v>Biomasse (chaleur)</v>
      </c>
      <c r="D73" s="115"/>
      <c r="E73" s="330" t="s">
        <v>569</v>
      </c>
      <c r="F73" s="177">
        <v>0.3</v>
      </c>
      <c r="G73" s="174"/>
      <c r="H73" s="174">
        <v>0.45</v>
      </c>
      <c r="I73" s="174"/>
      <c r="J73" s="174"/>
      <c r="K73" s="174"/>
      <c r="L73" s="331">
        <v>0.52</v>
      </c>
      <c r="M73" s="115"/>
    </row>
    <row r="74" spans="1:15" outlineLevel="2">
      <c r="A74" s="363"/>
      <c r="B74" s="365"/>
      <c r="C74" s="151" t="str">
        <f t="shared" si="3"/>
        <v>Biomasse (global)</v>
      </c>
      <c r="D74" s="115"/>
      <c r="E74" s="218" t="s">
        <v>570</v>
      </c>
      <c r="F74" s="177">
        <v>0.6</v>
      </c>
      <c r="G74" s="174"/>
      <c r="H74" s="174">
        <v>0.75</v>
      </c>
      <c r="I74" s="174"/>
      <c r="J74" s="174"/>
      <c r="K74" s="174"/>
      <c r="L74" s="331">
        <v>0.85</v>
      </c>
      <c r="M74" s="115"/>
    </row>
    <row r="75" spans="1:15" outlineLevel="2">
      <c r="A75" s="363"/>
      <c r="B75" s="365"/>
      <c r="C75" s="151" t="str">
        <f t="shared" si="3"/>
        <v>Déchets (électricité)</v>
      </c>
      <c r="D75" s="115"/>
      <c r="E75" s="330" t="s">
        <v>571</v>
      </c>
      <c r="F75" s="177">
        <v>0.1</v>
      </c>
      <c r="G75" s="174"/>
      <c r="H75" s="174">
        <v>0.2</v>
      </c>
      <c r="I75" s="174"/>
      <c r="J75" s="174"/>
      <c r="K75" s="174"/>
      <c r="L75" s="331">
        <v>0.25</v>
      </c>
      <c r="M75" s="115"/>
    </row>
    <row r="76" spans="1:15" outlineLevel="2">
      <c r="A76" s="363"/>
      <c r="B76" s="365"/>
      <c r="C76" s="151" t="str">
        <f t="shared" si="3"/>
        <v>Déchets (chaleur)</v>
      </c>
      <c r="D76" s="115"/>
      <c r="E76" s="330" t="s">
        <v>572</v>
      </c>
      <c r="F76" s="177">
        <v>0.5</v>
      </c>
      <c r="G76" s="174"/>
      <c r="H76" s="174">
        <v>0.55000000000000004</v>
      </c>
      <c r="I76" s="174"/>
      <c r="J76" s="174"/>
      <c r="K76" s="174"/>
      <c r="L76" s="331">
        <v>0.6</v>
      </c>
      <c r="M76" s="115"/>
    </row>
    <row r="77" spans="1:15" ht="15" outlineLevel="2" thickBot="1">
      <c r="A77" s="363"/>
      <c r="B77" s="365"/>
      <c r="C77" s="151" t="str">
        <f t="shared" si="3"/>
        <v>Déchets (global)</v>
      </c>
      <c r="D77" s="115"/>
      <c r="E77" s="332" t="s">
        <v>573</v>
      </c>
      <c r="F77" s="333">
        <v>0.6</v>
      </c>
      <c r="G77" s="334"/>
      <c r="H77" s="334">
        <v>0.75</v>
      </c>
      <c r="I77" s="334"/>
      <c r="J77" s="334"/>
      <c r="K77" s="334"/>
      <c r="L77" s="335">
        <v>0.85</v>
      </c>
      <c r="M77" s="115"/>
    </row>
    <row r="78" spans="1:15" outlineLevel="2">
      <c r="A78" s="363"/>
      <c r="B78" s="365"/>
      <c r="C78" s="151" t="str">
        <f t="shared" si="3"/>
        <v/>
      </c>
      <c r="D78" s="115"/>
      <c r="E78" s="610"/>
      <c r="F78" s="610"/>
      <c r="G78" s="610"/>
      <c r="H78" s="610"/>
      <c r="I78" s="610"/>
      <c r="J78" s="610"/>
      <c r="K78" s="610"/>
      <c r="L78" s="610"/>
      <c r="M78" s="115"/>
    </row>
    <row r="79" spans="1:15" s="283" customFormat="1" ht="15" outlineLevel="1" thickBot="1">
      <c r="A79" s="363"/>
      <c r="B79" s="365"/>
      <c r="C79" s="151" t="str">
        <f t="shared" ref="C79:C87" si="4">IF(ISBLANK(E79),IF(ISBLANK(F79),"",F79),E79)</f>
        <v>Part de chaleur cogénérée dans les réseau de chaleur</v>
      </c>
      <c r="D79" s="115"/>
      <c r="E79" s="627" t="s">
        <v>839</v>
      </c>
      <c r="F79" s="627"/>
      <c r="G79" s="627"/>
      <c r="H79" s="627"/>
      <c r="I79" s="627"/>
      <c r="J79" s="627"/>
      <c r="K79" s="627"/>
      <c r="L79" s="627"/>
      <c r="M79" s="115"/>
    </row>
    <row r="80" spans="1:15" s="283" customFormat="1" outlineLevel="2">
      <c r="A80" s="363"/>
      <c r="B80" s="365"/>
      <c r="C80" s="151" t="str">
        <f t="shared" si="4"/>
        <v>%</v>
      </c>
      <c r="D80" s="115"/>
      <c r="E80" s="322" t="s">
        <v>121</v>
      </c>
      <c r="F80" s="494">
        <v>2019</v>
      </c>
      <c r="G80" s="494">
        <v>2025</v>
      </c>
      <c r="H80" s="494">
        <v>2030</v>
      </c>
      <c r="I80" s="494">
        <v>2035</v>
      </c>
      <c r="J80" s="494">
        <v>2040</v>
      </c>
      <c r="K80" s="494">
        <v>2045</v>
      </c>
      <c r="L80" s="495">
        <v>2050</v>
      </c>
      <c r="M80" s="115"/>
    </row>
    <row r="81" spans="1:16" s="283" customFormat="1" outlineLevel="2">
      <c r="A81" s="363"/>
      <c r="B81" s="365"/>
      <c r="C81" s="151" t="str">
        <f t="shared" si="4"/>
        <v>Biomasse</v>
      </c>
      <c r="D81" s="115"/>
      <c r="E81" s="330" t="s">
        <v>309</v>
      </c>
      <c r="F81" s="177">
        <v>0.14000000000000001</v>
      </c>
      <c r="G81" s="174"/>
      <c r="H81" s="174">
        <v>0.14000000000000001</v>
      </c>
      <c r="I81" s="174"/>
      <c r="J81" s="174"/>
      <c r="K81" s="174"/>
      <c r="L81" s="331">
        <v>0.14000000000000001</v>
      </c>
      <c r="M81" s="115"/>
      <c r="O81" s="379"/>
    </row>
    <row r="82" spans="1:16" s="283" customFormat="1" ht="15" outlineLevel="2" thickBot="1">
      <c r="A82" s="363"/>
      <c r="B82" s="365"/>
      <c r="C82" s="151" t="str">
        <f t="shared" si="4"/>
        <v>Déchets</v>
      </c>
      <c r="D82" s="115"/>
      <c r="E82" s="332" t="s">
        <v>24</v>
      </c>
      <c r="F82" s="333">
        <v>0.02</v>
      </c>
      <c r="G82" s="334"/>
      <c r="H82" s="334">
        <v>0.02</v>
      </c>
      <c r="I82" s="334"/>
      <c r="J82" s="334"/>
      <c r="K82" s="334"/>
      <c r="L82" s="335">
        <v>0.02</v>
      </c>
      <c r="M82" s="115"/>
    </row>
    <row r="83" spans="1:16" s="283" customFormat="1" outlineLevel="2">
      <c r="A83" s="363"/>
      <c r="B83" s="365"/>
      <c r="C83" s="151"/>
      <c r="D83" s="115"/>
      <c r="E83" s="388"/>
      <c r="F83" s="389"/>
      <c r="G83" s="389"/>
      <c r="H83" s="389"/>
      <c r="I83" s="389"/>
      <c r="J83" s="389"/>
      <c r="K83" s="389"/>
      <c r="L83" s="389"/>
      <c r="M83" s="115"/>
    </row>
    <row r="84" spans="1:16" s="283" customFormat="1" ht="15" outlineLevel="1" thickBot="1">
      <c r="A84" s="363"/>
      <c r="B84" s="365"/>
      <c r="C84" s="151" t="str">
        <f t="shared" si="4"/>
        <v>Part de chaleur cogénérée hors des réseaux de chaleur</v>
      </c>
      <c r="D84" s="115"/>
      <c r="E84" s="627" t="s">
        <v>840</v>
      </c>
      <c r="F84" s="627"/>
      <c r="G84" s="627"/>
      <c r="H84" s="627"/>
      <c r="I84" s="627"/>
      <c r="J84" s="627"/>
      <c r="K84" s="627"/>
      <c r="L84" s="627"/>
      <c r="M84" s="115"/>
    </row>
    <row r="85" spans="1:16" s="283" customFormat="1" outlineLevel="2">
      <c r="A85" s="363"/>
      <c r="B85" s="365"/>
      <c r="C85" s="151" t="str">
        <f t="shared" si="4"/>
        <v>%</v>
      </c>
      <c r="D85" s="115"/>
      <c r="E85" s="322" t="s">
        <v>121</v>
      </c>
      <c r="F85" s="494">
        <v>2019</v>
      </c>
      <c r="G85" s="494">
        <v>2025</v>
      </c>
      <c r="H85" s="494">
        <v>2030</v>
      </c>
      <c r="I85" s="494">
        <v>2035</v>
      </c>
      <c r="J85" s="494">
        <v>2040</v>
      </c>
      <c r="K85" s="494">
        <v>2045</v>
      </c>
      <c r="L85" s="495">
        <v>2050</v>
      </c>
      <c r="M85" s="115"/>
    </row>
    <row r="86" spans="1:16" s="283" customFormat="1" outlineLevel="2">
      <c r="A86" s="363"/>
      <c r="B86" s="365"/>
      <c r="C86" s="151" t="str">
        <f t="shared" si="4"/>
        <v>Biomasse</v>
      </c>
      <c r="D86" s="115"/>
      <c r="E86" s="330" t="s">
        <v>309</v>
      </c>
      <c r="F86" s="177">
        <v>0.75</v>
      </c>
      <c r="G86" s="174"/>
      <c r="H86" s="174">
        <v>0.75</v>
      </c>
      <c r="I86" s="174"/>
      <c r="J86" s="174"/>
      <c r="K86" s="174"/>
      <c r="L86" s="331">
        <v>0.75</v>
      </c>
      <c r="M86" s="115"/>
      <c r="O86" s="379"/>
    </row>
    <row r="87" spans="1:16" s="283" customFormat="1" ht="15" outlineLevel="2" thickBot="1">
      <c r="A87" s="363"/>
      <c r="B87" s="365"/>
      <c r="C87" s="151" t="str">
        <f t="shared" si="4"/>
        <v>Déchets</v>
      </c>
      <c r="D87" s="115"/>
      <c r="E87" s="332" t="s">
        <v>24</v>
      </c>
      <c r="F87" s="333">
        <v>0</v>
      </c>
      <c r="G87" s="334"/>
      <c r="H87" s="334">
        <v>0</v>
      </c>
      <c r="I87" s="334"/>
      <c r="J87" s="334"/>
      <c r="K87" s="334"/>
      <c r="L87" s="335">
        <v>0</v>
      </c>
      <c r="M87" s="115"/>
    </row>
    <row r="88" spans="1:16" outlineLevel="1">
      <c r="A88" s="363"/>
      <c r="B88" s="365"/>
      <c r="C88" s="151" t="str">
        <f t="shared" si="3"/>
        <v/>
      </c>
      <c r="D88" s="115"/>
      <c r="E88" s="142"/>
      <c r="F88" s="142"/>
      <c r="G88" s="142"/>
      <c r="H88" s="142"/>
      <c r="I88" s="142"/>
      <c r="J88" s="142"/>
      <c r="K88" s="142"/>
      <c r="L88" s="142"/>
      <c r="M88" s="115"/>
    </row>
    <row r="89" spans="1:16" s="283" customFormat="1" outlineLevel="1">
      <c r="A89" s="363"/>
      <c r="B89" s="365"/>
      <c r="C89" s="151" t="str">
        <f t="shared" si="3"/>
        <v/>
      </c>
      <c r="D89" s="115"/>
      <c r="E89" s="386"/>
      <c r="F89" s="386"/>
      <c r="G89" s="386"/>
      <c r="H89" s="386"/>
      <c r="I89" s="386"/>
      <c r="J89" s="386"/>
      <c r="K89" s="386"/>
      <c r="L89" s="386"/>
      <c r="M89" s="115"/>
    </row>
    <row r="90" spans="1:16" ht="46.2" customHeight="1" thickBot="1">
      <c r="A90" s="363"/>
      <c r="B90" s="365"/>
      <c r="C90" s="151" t="str">
        <f t="shared" si="3"/>
        <v>Consommation de biocombustibles et de carburants de synthèse</v>
      </c>
      <c r="D90" s="369"/>
      <c r="E90" s="370"/>
      <c r="F90" s="643" t="s">
        <v>830</v>
      </c>
      <c r="G90" s="643"/>
      <c r="H90" s="643"/>
      <c r="I90" s="643"/>
      <c r="J90" s="643"/>
      <c r="K90" s="643"/>
      <c r="L90" s="643"/>
      <c r="M90" s="643"/>
    </row>
    <row r="91" spans="1:16" ht="15" thickTop="1">
      <c r="A91" s="363"/>
      <c r="B91" s="365"/>
      <c r="C91" s="151" t="str">
        <f t="shared" si="3"/>
        <v/>
      </c>
      <c r="D91" s="203"/>
      <c r="E91" s="203"/>
      <c r="F91" s="203"/>
    </row>
    <row r="92" spans="1:16" outlineLevel="1">
      <c r="A92" s="363"/>
      <c r="B92" s="365"/>
      <c r="C92" s="151" t="str">
        <f t="shared" si="3"/>
        <v/>
      </c>
      <c r="D92" s="115"/>
      <c r="E92" s="115"/>
      <c r="F92" s="115"/>
      <c r="G92" s="115"/>
      <c r="H92" s="115"/>
      <c r="I92" s="115"/>
      <c r="J92" s="115"/>
      <c r="K92" s="115"/>
      <c r="L92" s="115"/>
      <c r="M92" s="115"/>
    </row>
    <row r="93" spans="1:16" ht="19.2" outlineLevel="1">
      <c r="A93" s="363"/>
      <c r="B93" s="365"/>
      <c r="C93" s="151" t="str">
        <f t="shared" si="3"/>
        <v xml:space="preserve">Commentaire
IGCE = 
Diffus = </v>
      </c>
      <c r="D93" s="115"/>
      <c r="E93" s="611" t="s">
        <v>140</v>
      </c>
      <c r="F93" s="612"/>
      <c r="G93" s="612"/>
      <c r="H93" s="612"/>
      <c r="I93" s="612"/>
      <c r="J93" s="612"/>
      <c r="K93" s="612"/>
      <c r="L93" s="612"/>
      <c r="M93" s="115"/>
    </row>
    <row r="94" spans="1:16" ht="46.2" customHeight="1" outlineLevel="1">
      <c r="A94" s="363"/>
      <c r="B94" s="365"/>
      <c r="C94" s="151" t="str">
        <f t="shared" si="3"/>
        <v>Les hypothèses de taux d'incorporation de biocarburants ou carburants de synthèse et de biogaz dans le réseau permettent de déduire les consommations de biocombustibles et carburants de synthèse à partir des consommations de carburants et gaz réseau.</v>
      </c>
      <c r="D94" s="115"/>
      <c r="E94" s="613" t="s">
        <v>832</v>
      </c>
      <c r="F94" s="614"/>
      <c r="G94" s="614"/>
      <c r="H94" s="614"/>
      <c r="I94" s="614"/>
      <c r="J94" s="614"/>
      <c r="K94" s="614"/>
      <c r="L94" s="614"/>
      <c r="M94" s="115"/>
    </row>
    <row r="95" spans="1:16" outlineLevel="1">
      <c r="A95" s="363"/>
      <c r="B95" s="365"/>
      <c r="C95" s="151" t="str">
        <f t="shared" si="3"/>
        <v/>
      </c>
      <c r="D95" s="115"/>
      <c r="E95" s="142"/>
      <c r="F95" s="142"/>
      <c r="G95" s="142"/>
      <c r="H95" s="142"/>
      <c r="I95" s="142"/>
      <c r="J95" s="142"/>
      <c r="K95" s="142"/>
      <c r="L95" s="142"/>
      <c r="M95" s="115"/>
      <c r="N95" s="399"/>
      <c r="O95" s="399"/>
      <c r="P95" s="399"/>
    </row>
    <row r="96" spans="1:16" ht="15" outlineLevel="1" thickBot="1">
      <c r="A96" s="363"/>
      <c r="B96" s="365"/>
      <c r="C96" s="151" t="str">
        <f t="shared" si="3"/>
        <v>Taux d'incorporation de biocombustibles et carburants de synthèse (%)</v>
      </c>
      <c r="D96" s="115"/>
      <c r="E96" s="615" t="s">
        <v>1083</v>
      </c>
      <c r="F96" s="615"/>
      <c r="G96" s="615"/>
      <c r="H96" s="615"/>
      <c r="I96" s="615"/>
      <c r="J96" s="615"/>
      <c r="K96" s="615"/>
      <c r="L96" s="615"/>
      <c r="M96" s="115"/>
      <c r="N96" s="399"/>
      <c r="O96" s="399"/>
      <c r="P96" s="399"/>
    </row>
    <row r="97" spans="1:16" outlineLevel="2">
      <c r="A97" s="363"/>
      <c r="B97" s="365"/>
      <c r="C97" s="151" t="str">
        <f t="shared" si="3"/>
        <v>%</v>
      </c>
      <c r="D97" s="115"/>
      <c r="E97" s="119" t="s">
        <v>121</v>
      </c>
      <c r="F97" s="130">
        <v>2021</v>
      </c>
      <c r="G97" s="130">
        <v>2025</v>
      </c>
      <c r="H97" s="130">
        <v>2030</v>
      </c>
      <c r="I97" s="130">
        <v>2035</v>
      </c>
      <c r="J97" s="130">
        <v>2040</v>
      </c>
      <c r="K97" s="130">
        <v>2045</v>
      </c>
      <c r="L97" s="131">
        <v>2050</v>
      </c>
      <c r="M97" s="115"/>
      <c r="N97" s="399"/>
      <c r="O97" s="399"/>
      <c r="P97" s="399"/>
    </row>
    <row r="98" spans="1:16" outlineLevel="2">
      <c r="A98" s="363"/>
      <c r="B98" s="365"/>
      <c r="C98" s="151" t="str">
        <f t="shared" si="3"/>
        <v>Essence</v>
      </c>
      <c r="D98" s="115"/>
      <c r="E98" s="122" t="s">
        <v>327</v>
      </c>
      <c r="F98" s="177" t="s">
        <v>576</v>
      </c>
      <c r="G98" s="174" t="s">
        <v>583</v>
      </c>
      <c r="H98" s="174" t="s">
        <v>583</v>
      </c>
      <c r="I98" s="174"/>
      <c r="J98" s="174" t="s">
        <v>583</v>
      </c>
      <c r="K98" s="174" t="s">
        <v>583</v>
      </c>
      <c r="L98" s="174" t="s">
        <v>583</v>
      </c>
      <c r="M98" s="115"/>
      <c r="N98" s="399"/>
      <c r="O98" s="399"/>
      <c r="P98" s="399"/>
    </row>
    <row r="99" spans="1:16" outlineLevel="2">
      <c r="A99" s="363"/>
      <c r="B99" s="365"/>
      <c r="C99" s="151" t="str">
        <f t="shared" si="3"/>
        <v>Diesel</v>
      </c>
      <c r="D99" s="115"/>
      <c r="E99" s="122" t="s">
        <v>328</v>
      </c>
      <c r="F99" s="177" t="s">
        <v>577</v>
      </c>
      <c r="G99" s="174" t="s">
        <v>584</v>
      </c>
      <c r="H99" s="174" t="s">
        <v>584</v>
      </c>
      <c r="I99" s="174"/>
      <c r="J99" s="174" t="s">
        <v>584</v>
      </c>
      <c r="K99" s="174" t="s">
        <v>584</v>
      </c>
      <c r="L99" s="174" t="s">
        <v>584</v>
      </c>
      <c r="M99" s="115"/>
      <c r="N99" s="399"/>
      <c r="O99" s="399"/>
      <c r="P99" s="399"/>
    </row>
    <row r="100" spans="1:16" outlineLevel="2">
      <c r="A100" s="363"/>
      <c r="B100" s="365"/>
      <c r="C100" s="151" t="str">
        <f t="shared" si="3"/>
        <v>Gaz de réseau</v>
      </c>
      <c r="D100" s="115"/>
      <c r="E100" s="179" t="s">
        <v>258</v>
      </c>
      <c r="F100" s="177">
        <v>1.6E-2</v>
      </c>
      <c r="G100" s="174">
        <v>0.04</v>
      </c>
      <c r="H100" s="174">
        <v>5.6000000000000001E-2</v>
      </c>
      <c r="I100" s="174"/>
      <c r="J100" s="174">
        <v>5.6000000000000001E-2</v>
      </c>
      <c r="K100" s="174">
        <v>5.6000000000000001E-2</v>
      </c>
      <c r="L100" s="174">
        <v>5.6000000000000001E-2</v>
      </c>
      <c r="M100" s="115"/>
      <c r="N100" s="399"/>
      <c r="O100" s="399"/>
      <c r="P100" s="399"/>
    </row>
    <row r="101" spans="1:16" outlineLevel="2">
      <c r="A101" s="363"/>
      <c r="B101" s="365"/>
      <c r="C101" s="151" t="str">
        <f t="shared" si="3"/>
        <v>Gaz pour production électrique</v>
      </c>
      <c r="D101" s="115"/>
      <c r="E101" s="122" t="s">
        <v>578</v>
      </c>
      <c r="F101" s="177">
        <v>0.09</v>
      </c>
      <c r="G101" s="174">
        <v>0.1</v>
      </c>
      <c r="H101" s="174">
        <v>0.1</v>
      </c>
      <c r="I101" s="174"/>
      <c r="J101" s="174">
        <v>0.1</v>
      </c>
      <c r="K101" s="174">
        <v>0.1</v>
      </c>
      <c r="L101" s="174">
        <v>0.1</v>
      </c>
      <c r="M101" s="115"/>
      <c r="N101" s="399"/>
      <c r="O101" s="399"/>
      <c r="P101" s="399"/>
    </row>
    <row r="102" spans="1:16" outlineLevel="2">
      <c r="A102" s="363"/>
      <c r="B102" s="365"/>
      <c r="C102" s="151" t="str">
        <f t="shared" si="3"/>
        <v>Gaz pour production de chaleur</v>
      </c>
      <c r="D102" s="115"/>
      <c r="E102" s="122" t="s">
        <v>579</v>
      </c>
      <c r="F102" s="177">
        <v>0.13</v>
      </c>
      <c r="G102" s="174">
        <v>0.15</v>
      </c>
      <c r="H102" s="174">
        <v>0.15</v>
      </c>
      <c r="I102" s="174"/>
      <c r="J102" s="174">
        <v>0.15</v>
      </c>
      <c r="K102" s="174">
        <v>0.15</v>
      </c>
      <c r="L102" s="174">
        <v>0.15</v>
      </c>
      <c r="M102" s="115"/>
      <c r="N102" s="399"/>
      <c r="O102" s="399"/>
      <c r="P102" s="399"/>
    </row>
    <row r="103" spans="1:16" outlineLevel="2">
      <c r="A103" s="363"/>
      <c r="B103" s="365"/>
      <c r="C103" s="151" t="str">
        <f t="shared" si="3"/>
        <v>Carburants aériens</v>
      </c>
      <c r="D103" s="115"/>
      <c r="E103" s="122" t="s">
        <v>580</v>
      </c>
      <c r="F103" s="177">
        <v>0.01</v>
      </c>
      <c r="G103" s="174">
        <f>G104+G105</f>
        <v>0.02</v>
      </c>
      <c r="H103" s="174">
        <f>H104+H105</f>
        <v>6.0000000000000005E-2</v>
      </c>
      <c r="I103" s="174"/>
      <c r="J103" s="174">
        <v>0.35</v>
      </c>
      <c r="K103" s="174">
        <v>0.41000000000000003</v>
      </c>
      <c r="L103" s="174">
        <v>0.7</v>
      </c>
      <c r="M103" s="115"/>
      <c r="N103" s="399"/>
      <c r="O103" s="399"/>
      <c r="P103" s="399"/>
    </row>
    <row r="104" spans="1:16" outlineLevel="2">
      <c r="A104" s="363"/>
      <c r="B104" s="365"/>
      <c r="C104" s="151" t="str">
        <f t="shared" si="3"/>
        <v>Dont biocarburants avancés</v>
      </c>
      <c r="D104" s="115"/>
      <c r="E104" s="344" t="s">
        <v>581</v>
      </c>
      <c r="F104" s="177">
        <v>0.01</v>
      </c>
      <c r="G104" s="174">
        <v>0.02</v>
      </c>
      <c r="H104" s="174">
        <v>0.05</v>
      </c>
      <c r="I104" s="174"/>
      <c r="J104" s="174">
        <v>0.23</v>
      </c>
      <c r="K104" s="174">
        <v>0.25</v>
      </c>
      <c r="L104" s="174">
        <v>0.28999999999999998</v>
      </c>
      <c r="M104" s="115"/>
      <c r="N104" s="399"/>
      <c r="O104" s="399"/>
      <c r="P104" s="399"/>
    </row>
    <row r="105" spans="1:16" ht="15" outlineLevel="2" thickBot="1">
      <c r="A105" s="363"/>
      <c r="B105" s="365"/>
      <c r="C105" s="151" t="str">
        <f t="shared" si="3"/>
        <v>Dont RFNBO</v>
      </c>
      <c r="D105" s="115"/>
      <c r="E105" s="344" t="s">
        <v>582</v>
      </c>
      <c r="F105" s="177">
        <v>0</v>
      </c>
      <c r="G105" s="174">
        <v>0</v>
      </c>
      <c r="H105" s="174">
        <v>0.01</v>
      </c>
      <c r="I105" s="174"/>
      <c r="J105" s="174">
        <v>0.12</v>
      </c>
      <c r="K105" s="174">
        <v>0.16</v>
      </c>
      <c r="L105" s="174">
        <v>0.41</v>
      </c>
      <c r="M105" s="115"/>
      <c r="N105" s="399"/>
      <c r="O105" s="399"/>
      <c r="P105" s="399"/>
    </row>
    <row r="106" spans="1:16" outlineLevel="2">
      <c r="A106" s="363"/>
      <c r="B106" s="365"/>
      <c r="C106" s="151" t="str">
        <f t="shared" si="3"/>
        <v>RFNBO = Carburants renouvelables d’origine non biologiques (e-fuels)</v>
      </c>
      <c r="D106" s="115"/>
      <c r="E106" s="616" t="s">
        <v>585</v>
      </c>
      <c r="F106" s="616"/>
      <c r="G106" s="616"/>
      <c r="H106" s="616"/>
      <c r="I106" s="616"/>
      <c r="J106" s="616"/>
      <c r="K106" s="616"/>
      <c r="L106" s="616"/>
      <c r="M106" s="115"/>
      <c r="O106" s="190"/>
    </row>
    <row r="107" spans="1:16" outlineLevel="1">
      <c r="A107" s="363"/>
      <c r="B107" s="365"/>
      <c r="C107" s="151" t="str">
        <f t="shared" si="3"/>
        <v/>
      </c>
      <c r="D107" s="115"/>
      <c r="E107" s="142"/>
      <c r="F107" s="142"/>
      <c r="G107" s="142"/>
      <c r="H107" s="142"/>
      <c r="I107" s="142"/>
      <c r="J107" s="142"/>
      <c r="K107" s="142"/>
      <c r="L107" s="142"/>
      <c r="M107" s="115"/>
      <c r="O107" s="190"/>
    </row>
    <row r="108" spans="1:16" s="283" customFormat="1" ht="46.2" customHeight="1" thickBot="1">
      <c r="A108" s="363"/>
      <c r="B108" s="365"/>
      <c r="C108" s="151" t="str">
        <f t="shared" si="3"/>
        <v>Production d'H2</v>
      </c>
      <c r="D108" s="369"/>
      <c r="E108" s="370"/>
      <c r="F108" s="643" t="s">
        <v>831</v>
      </c>
      <c r="G108" s="643"/>
      <c r="H108" s="643"/>
      <c r="I108" s="643"/>
      <c r="J108" s="643"/>
      <c r="K108" s="643"/>
      <c r="L108" s="643"/>
      <c r="M108" s="643"/>
    </row>
    <row r="109" spans="1:16" s="283" customFormat="1" ht="15" thickTop="1">
      <c r="A109" s="363"/>
      <c r="B109" s="365"/>
      <c r="C109" s="151" t="str">
        <f t="shared" si="3"/>
        <v/>
      </c>
      <c r="D109" s="381"/>
      <c r="E109" s="381"/>
      <c r="F109" s="381"/>
    </row>
    <row r="110" spans="1:16" s="283" customFormat="1" outlineLevel="1">
      <c r="A110" s="363"/>
      <c r="B110" s="365"/>
      <c r="C110" s="151" t="str">
        <f t="shared" si="3"/>
        <v/>
      </c>
      <c r="D110" s="115"/>
      <c r="E110" s="115"/>
      <c r="F110" s="115"/>
      <c r="G110" s="115"/>
      <c r="H110" s="115"/>
      <c r="I110" s="115"/>
      <c r="J110" s="115"/>
      <c r="K110" s="115"/>
      <c r="L110" s="115"/>
      <c r="M110" s="115"/>
    </row>
    <row r="111" spans="1:16" s="283" customFormat="1" ht="19.2" outlineLevel="1">
      <c r="A111" s="363"/>
      <c r="B111" s="365"/>
      <c r="C111" s="151" t="str">
        <f t="shared" si="3"/>
        <v xml:space="preserve">Commentaire
IGCE = 
Diffus = </v>
      </c>
      <c r="D111" s="115"/>
      <c r="E111" s="611" t="s">
        <v>140</v>
      </c>
      <c r="F111" s="612"/>
      <c r="G111" s="612"/>
      <c r="H111" s="612"/>
      <c r="I111" s="612"/>
      <c r="J111" s="612"/>
      <c r="K111" s="612"/>
      <c r="L111" s="612"/>
      <c r="M111" s="115"/>
    </row>
    <row r="112" spans="1:16" s="283" customFormat="1" ht="30.6" customHeight="1" outlineLevel="1">
      <c r="A112" s="363"/>
      <c r="B112" s="365"/>
      <c r="C112" s="151" t="str">
        <f t="shared" si="3"/>
        <v>La production d'H2 est considérée égale à la demande issue des modélisations des différents secteurs. Les hypothèses portent sur le mix de production de l'H2 nouvellement utilisé (en remplacement d'H2 fossile ou pour de nouveaux usages).</v>
      </c>
      <c r="D112" s="115"/>
      <c r="E112" s="613" t="s">
        <v>1012</v>
      </c>
      <c r="F112" s="614"/>
      <c r="G112" s="614"/>
      <c r="H112" s="614"/>
      <c r="I112" s="614"/>
      <c r="J112" s="614"/>
      <c r="K112" s="614"/>
      <c r="L112" s="614"/>
      <c r="M112" s="115"/>
    </row>
    <row r="113" spans="1:16" s="283" customFormat="1" ht="15" outlineLevel="1" thickBot="1">
      <c r="A113" s="363"/>
      <c r="B113" s="365"/>
      <c r="C113" s="151" t="str">
        <f t="shared" si="3"/>
        <v>Mix de production H2</v>
      </c>
      <c r="D113" s="115"/>
      <c r="E113" s="615" t="s">
        <v>826</v>
      </c>
      <c r="F113" s="615"/>
      <c r="G113" s="615"/>
      <c r="H113" s="615"/>
      <c r="I113" s="615"/>
      <c r="J113" s="615"/>
      <c r="K113" s="615"/>
      <c r="L113" s="615"/>
      <c r="M113" s="115"/>
    </row>
    <row r="114" spans="1:16" s="283" customFormat="1" outlineLevel="2">
      <c r="A114" s="363"/>
      <c r="B114" s="365"/>
      <c r="C114" s="151" t="str">
        <f t="shared" si="3"/>
        <v>%</v>
      </c>
      <c r="D114" s="115"/>
      <c r="E114" s="119" t="s">
        <v>121</v>
      </c>
      <c r="F114" s="130">
        <v>2021</v>
      </c>
      <c r="G114" s="130">
        <v>2025</v>
      </c>
      <c r="H114" s="130">
        <v>2030</v>
      </c>
      <c r="I114" s="130">
        <v>2035</v>
      </c>
      <c r="J114" s="130">
        <v>2040</v>
      </c>
      <c r="K114" s="130">
        <v>2045</v>
      </c>
      <c r="L114" s="131">
        <v>2050</v>
      </c>
      <c r="M114" s="115"/>
      <c r="O114" s="189"/>
    </row>
    <row r="115" spans="1:16" s="283" customFormat="1" outlineLevel="2">
      <c r="A115" s="363"/>
      <c r="B115" s="365"/>
      <c r="C115" s="151" t="str">
        <f t="shared" si="3"/>
        <v>Vaporéformage de méthane</v>
      </c>
      <c r="D115" s="115"/>
      <c r="E115" s="122" t="s">
        <v>827</v>
      </c>
      <c r="F115" s="177"/>
      <c r="G115" s="174">
        <v>0.5</v>
      </c>
      <c r="H115" s="174">
        <v>0.5</v>
      </c>
      <c r="I115" s="174">
        <v>0.5</v>
      </c>
      <c r="J115" s="174">
        <v>0.5</v>
      </c>
      <c r="K115" s="174">
        <v>0.5</v>
      </c>
      <c r="L115" s="174">
        <v>0.5</v>
      </c>
      <c r="M115" s="115"/>
      <c r="O115" s="190"/>
    </row>
    <row r="116" spans="1:16" s="283" customFormat="1" outlineLevel="2">
      <c r="A116" s="363"/>
      <c r="B116" s="365"/>
      <c r="C116" s="151" t="str">
        <f t="shared" si="3"/>
        <v>Pyrogazéification</v>
      </c>
      <c r="D116" s="115"/>
      <c r="E116" s="122" t="s">
        <v>593</v>
      </c>
      <c r="F116" s="177"/>
      <c r="G116" s="174">
        <v>0.01</v>
      </c>
      <c r="H116" s="174">
        <v>0.01</v>
      </c>
      <c r="I116" s="174">
        <v>0.01</v>
      </c>
      <c r="J116" s="174">
        <v>0.01</v>
      </c>
      <c r="K116" s="174">
        <v>0.01</v>
      </c>
      <c r="L116" s="174">
        <v>0.01</v>
      </c>
      <c r="M116" s="115"/>
      <c r="O116" s="189"/>
    </row>
    <row r="117" spans="1:16" s="283" customFormat="1" ht="15" outlineLevel="2" thickBot="1">
      <c r="A117" s="363"/>
      <c r="B117" s="365"/>
      <c r="C117" s="151" t="str">
        <f t="shared" si="3"/>
        <v>Electrolyse</v>
      </c>
      <c r="D117" s="115"/>
      <c r="E117" s="179" t="s">
        <v>828</v>
      </c>
      <c r="F117" s="177"/>
      <c r="G117" s="174">
        <v>0.49</v>
      </c>
      <c r="H117" s="174">
        <v>0.49</v>
      </c>
      <c r="I117" s="174">
        <v>0.49</v>
      </c>
      <c r="J117" s="174">
        <v>0.49</v>
      </c>
      <c r="K117" s="174">
        <v>0.49</v>
      </c>
      <c r="L117" s="174">
        <v>0.49</v>
      </c>
      <c r="M117" s="115"/>
      <c r="O117" s="190"/>
    </row>
    <row r="118" spans="1:16" s="283" customFormat="1" outlineLevel="2">
      <c r="A118" s="363"/>
      <c r="B118" s="365"/>
      <c r="C118" s="151" t="str">
        <f t="shared" si="3"/>
        <v/>
      </c>
      <c r="D118" s="115"/>
      <c r="E118" s="616"/>
      <c r="F118" s="616"/>
      <c r="G118" s="616"/>
      <c r="H118" s="616"/>
      <c r="I118" s="616"/>
      <c r="J118" s="616"/>
      <c r="K118" s="616"/>
      <c r="L118" s="616"/>
      <c r="M118" s="115"/>
      <c r="O118" s="190"/>
    </row>
    <row r="119" spans="1:16" s="283" customFormat="1" outlineLevel="1">
      <c r="A119" s="363"/>
      <c r="B119" s="365"/>
      <c r="C119" s="151" t="str">
        <f t="shared" si="3"/>
        <v/>
      </c>
      <c r="D119" s="115"/>
      <c r="E119" s="378"/>
      <c r="F119" s="378"/>
      <c r="G119" s="378"/>
      <c r="H119" s="378"/>
      <c r="I119" s="378"/>
      <c r="J119" s="378"/>
      <c r="K119" s="378"/>
      <c r="L119" s="378"/>
      <c r="M119" s="115"/>
      <c r="O119" s="190"/>
    </row>
    <row r="120" spans="1:16" s="283" customFormat="1" ht="28.8" thickBot="1">
      <c r="A120" s="363"/>
      <c r="B120" s="365"/>
      <c r="C120" s="151" t="str">
        <f t="shared" si="3"/>
        <v>Production de biocombustibles</v>
      </c>
      <c r="D120" s="369"/>
      <c r="E120" s="370"/>
      <c r="F120" s="617" t="s">
        <v>829</v>
      </c>
      <c r="G120" s="617"/>
      <c r="H120" s="617"/>
      <c r="I120" s="617"/>
      <c r="J120" s="617"/>
      <c r="K120" s="617"/>
      <c r="L120" s="617"/>
      <c r="M120" s="617"/>
    </row>
    <row r="121" spans="1:16" ht="15" outlineLevel="1" thickTop="1">
      <c r="A121" s="363"/>
      <c r="B121" s="365"/>
      <c r="C121" s="151" t="str">
        <f t="shared" si="3"/>
        <v/>
      </c>
      <c r="D121" s="115"/>
      <c r="E121" s="639"/>
      <c r="F121" s="639"/>
      <c r="G121" s="639"/>
      <c r="H121" s="639"/>
      <c r="I121" s="639"/>
      <c r="J121" s="639"/>
      <c r="K121" s="639"/>
      <c r="L121" s="639"/>
      <c r="M121" s="115"/>
      <c r="O121" s="190"/>
    </row>
    <row r="122" spans="1:16" s="283" customFormat="1" ht="19.2" outlineLevel="1">
      <c r="A122" s="363"/>
      <c r="B122" s="365"/>
      <c r="C122" s="151" t="str">
        <f t="shared" si="3"/>
        <v xml:space="preserve">Commentaire
IGCE = 
Diffus = </v>
      </c>
      <c r="D122" s="115"/>
      <c r="E122" s="611" t="s">
        <v>140</v>
      </c>
      <c r="F122" s="612"/>
      <c r="G122" s="612"/>
      <c r="H122" s="612"/>
      <c r="I122" s="612"/>
      <c r="J122" s="612"/>
      <c r="K122" s="612"/>
      <c r="L122" s="612"/>
      <c r="M122" s="115"/>
    </row>
    <row r="123" spans="1:16" s="283" customFormat="1" ht="46.95" customHeight="1" outlineLevel="1">
      <c r="A123" s="363"/>
      <c r="B123" s="365"/>
      <c r="C123" s="151" t="str">
        <f t="shared" si="3"/>
        <v>Les hypothèses de production de biomasse solide, biocarburants et biogaz sont issues des hypothèses de ressources primaires disponibles modélisées dans les secteurs de l'agriculture, des forêts et des déchets, ainsi que d'hypothèses sur les filières de valorisation et les rendements.</v>
      </c>
      <c r="D123" s="115"/>
      <c r="E123" s="613" t="s">
        <v>835</v>
      </c>
      <c r="F123" s="614"/>
      <c r="G123" s="614"/>
      <c r="H123" s="614"/>
      <c r="I123" s="614"/>
      <c r="J123" s="614"/>
      <c r="K123" s="614"/>
      <c r="L123" s="614"/>
      <c r="M123" s="115"/>
    </row>
    <row r="124" spans="1:16" s="283" customFormat="1" ht="15" outlineLevel="1" thickBot="1">
      <c r="A124" s="363"/>
      <c r="B124" s="365"/>
      <c r="C124" s="151" t="str">
        <f t="shared" si="3"/>
        <v>Ressources primaires totales</v>
      </c>
      <c r="D124" s="115"/>
      <c r="E124" s="627" t="s">
        <v>836</v>
      </c>
      <c r="F124" s="627"/>
      <c r="G124" s="627"/>
      <c r="H124" s="627"/>
      <c r="I124" s="627"/>
      <c r="J124" s="627"/>
      <c r="K124" s="627"/>
      <c r="L124" s="627"/>
      <c r="M124" s="115"/>
      <c r="O124" s="190"/>
    </row>
    <row r="125" spans="1:16" s="283" customFormat="1" outlineLevel="2">
      <c r="A125" s="363"/>
      <c r="B125" s="365"/>
      <c r="C125" s="151" t="str">
        <f t="shared" si="3"/>
        <v>Ressources primaires (TWhEp)</v>
      </c>
      <c r="D125" s="115"/>
      <c r="E125" s="459" t="s">
        <v>837</v>
      </c>
      <c r="F125" s="494">
        <v>2019</v>
      </c>
      <c r="G125" s="494">
        <v>2025</v>
      </c>
      <c r="H125" s="494">
        <v>2030</v>
      </c>
      <c r="I125" s="494">
        <v>2035</v>
      </c>
      <c r="J125" s="494">
        <v>2040</v>
      </c>
      <c r="K125" s="494">
        <v>2045</v>
      </c>
      <c r="L125" s="495">
        <v>2050</v>
      </c>
      <c r="M125" s="115"/>
      <c r="O125" s="190"/>
    </row>
    <row r="126" spans="1:16" s="283" customFormat="1" outlineLevel="2">
      <c r="A126" s="363"/>
      <c r="B126" s="365"/>
      <c r="C126" s="151" t="str">
        <f t="shared" si="3"/>
        <v>Ressource primaire et connexes</v>
      </c>
      <c r="D126" s="115"/>
      <c r="E126" s="510" t="s">
        <v>614</v>
      </c>
      <c r="F126" s="210">
        <v>79.003034483837439</v>
      </c>
      <c r="G126" s="211">
        <v>78.25617804888725</v>
      </c>
      <c r="H126" s="211">
        <v>77.710806687463233</v>
      </c>
      <c r="I126" s="211"/>
      <c r="J126" s="211">
        <v>77.356842997979683</v>
      </c>
      <c r="K126" s="211"/>
      <c r="L126" s="511">
        <v>77.002879308496134</v>
      </c>
      <c r="M126" s="115"/>
      <c r="O126" s="190"/>
    </row>
    <row r="127" spans="1:16" s="283" customFormat="1" outlineLevel="2">
      <c r="A127" s="363"/>
      <c r="B127" s="365"/>
      <c r="C127" s="151" t="str">
        <f t="shared" si="3"/>
        <v>Déchets de bois en fin de vie</v>
      </c>
      <c r="D127" s="115"/>
      <c r="E127" s="510" t="s">
        <v>615</v>
      </c>
      <c r="F127" s="210">
        <v>9.8084424681851683</v>
      </c>
      <c r="G127" s="211">
        <v>11.057036574140655</v>
      </c>
      <c r="H127" s="211">
        <v>10.695734615530499</v>
      </c>
      <c r="I127" s="211"/>
      <c r="J127" s="211">
        <v>9.1786498008424218</v>
      </c>
      <c r="K127" s="211"/>
      <c r="L127" s="511">
        <v>7.661564986154346</v>
      </c>
      <c r="M127" s="115"/>
      <c r="O127" s="190"/>
      <c r="P127" s="379"/>
    </row>
    <row r="128" spans="1:16" s="283" customFormat="1" outlineLevel="2">
      <c r="A128" s="363"/>
      <c r="B128" s="365"/>
      <c r="C128" s="151" t="str">
        <f t="shared" ref="C128:C191" si="5">IF(ISBLANK(E128),IF(ISBLANK(F128),"",F128),E128)</f>
        <v>Dérivés de l'industrie du bois (boues de papeterie, liqueur noire, etc.)</v>
      </c>
      <c r="D128" s="115"/>
      <c r="E128" s="510" t="s">
        <v>616</v>
      </c>
      <c r="F128" s="210">
        <v>16.7</v>
      </c>
      <c r="G128" s="211">
        <v>16.685714285714283</v>
      </c>
      <c r="H128" s="211">
        <v>16.671428571428571</v>
      </c>
      <c r="I128" s="211"/>
      <c r="J128" s="211">
        <v>16.671428571428571</v>
      </c>
      <c r="K128" s="211"/>
      <c r="L128" s="511">
        <v>16.671428571428571</v>
      </c>
      <c r="M128" s="115"/>
      <c r="O128" s="190"/>
      <c r="P128" s="379"/>
    </row>
    <row r="129" spans="1:15" s="283" customFormat="1" outlineLevel="2">
      <c r="A129" s="363"/>
      <c r="B129" s="365"/>
      <c r="C129" s="151" t="str">
        <f t="shared" si="5"/>
        <v>Bois hors forêt (haies et agroforesterie)</v>
      </c>
      <c r="D129" s="115"/>
      <c r="E129" s="510" t="s">
        <v>617</v>
      </c>
      <c r="F129" s="210">
        <v>26.6</v>
      </c>
      <c r="G129" s="211">
        <v>26.32789906245058</v>
      </c>
      <c r="H129" s="211">
        <v>29.845030160877752</v>
      </c>
      <c r="I129" s="211"/>
      <c r="J129" s="211">
        <v>29.542795499254126</v>
      </c>
      <c r="K129" s="211"/>
      <c r="L129" s="511">
        <v>29.240560837630504</v>
      </c>
      <c r="M129" s="115"/>
      <c r="O129" s="190"/>
    </row>
    <row r="130" spans="1:15" s="283" customFormat="1" outlineLevel="2">
      <c r="A130" s="363"/>
      <c r="B130" s="365"/>
      <c r="C130" s="151" t="str">
        <f t="shared" si="5"/>
        <v>Résidus de culture</v>
      </c>
      <c r="D130" s="115"/>
      <c r="E130" s="510" t="s">
        <v>618</v>
      </c>
      <c r="F130" s="210">
        <v>5.2895468162299668</v>
      </c>
      <c r="G130" s="211">
        <v>7.0317983332544696</v>
      </c>
      <c r="H130" s="211">
        <v>8.7740498502789723</v>
      </c>
      <c r="I130" s="211"/>
      <c r="J130" s="211">
        <v>12.584028821918132</v>
      </c>
      <c r="K130" s="211"/>
      <c r="L130" s="511">
        <v>16.394007793557293</v>
      </c>
      <c r="M130" s="115"/>
      <c r="O130" s="190"/>
    </row>
    <row r="131" spans="1:15" s="283" customFormat="1" outlineLevel="2">
      <c r="A131" s="363"/>
      <c r="B131" s="365"/>
      <c r="C131" s="151" t="str">
        <f t="shared" si="5"/>
        <v>Herbe et cultures fourragères</v>
      </c>
      <c r="D131" s="115"/>
      <c r="E131" s="510" t="s">
        <v>619</v>
      </c>
      <c r="F131" s="210">
        <v>0</v>
      </c>
      <c r="G131" s="211">
        <v>0.5105196548908949</v>
      </c>
      <c r="H131" s="211">
        <v>1.0210393097817898</v>
      </c>
      <c r="I131" s="211"/>
      <c r="J131" s="211">
        <v>1.977556493035292</v>
      </c>
      <c r="K131" s="211"/>
      <c r="L131" s="511">
        <v>2.934073676288794</v>
      </c>
      <c r="M131" s="115"/>
      <c r="O131" s="190"/>
    </row>
    <row r="132" spans="1:15" s="283" customFormat="1" outlineLevel="2">
      <c r="A132" s="363"/>
      <c r="B132" s="365"/>
      <c r="C132" s="151" t="str">
        <f t="shared" si="5"/>
        <v>Cultures dédiées</v>
      </c>
      <c r="D132" s="115"/>
      <c r="E132" s="510" t="s">
        <v>620</v>
      </c>
      <c r="F132" s="210">
        <v>35.883530740967444</v>
      </c>
      <c r="G132" s="211">
        <v>34.047559523374709</v>
      </c>
      <c r="H132" s="211">
        <v>32.211588305781973</v>
      </c>
      <c r="I132" s="211"/>
      <c r="J132" s="211">
        <v>28.685151263362521</v>
      </c>
      <c r="K132" s="211"/>
      <c r="L132" s="511">
        <v>25.158714220943072</v>
      </c>
      <c r="M132" s="115"/>
      <c r="O132" s="190"/>
    </row>
    <row r="133" spans="1:15" s="283" customFormat="1" outlineLevel="2">
      <c r="A133" s="363"/>
      <c r="B133" s="365"/>
      <c r="C133" s="151" t="str">
        <f t="shared" si="5"/>
        <v>Cultures intermédiaires</v>
      </c>
      <c r="D133" s="115"/>
      <c r="E133" s="510" t="s">
        <v>621</v>
      </c>
      <c r="F133" s="210">
        <v>0.89988683584457929</v>
      </c>
      <c r="G133" s="211">
        <v>2.3358590695655383</v>
      </c>
      <c r="H133" s="211">
        <v>3.7718313032864974</v>
      </c>
      <c r="I133" s="211"/>
      <c r="J133" s="211">
        <v>4.5501532997419298</v>
      </c>
      <c r="K133" s="211"/>
      <c r="L133" s="511">
        <v>5.3284752961973618</v>
      </c>
      <c r="M133" s="115"/>
      <c r="O133" s="190"/>
    </row>
    <row r="134" spans="1:15" s="283" customFormat="1" outlineLevel="2">
      <c r="A134" s="363"/>
      <c r="B134" s="365"/>
      <c r="C134" s="151" t="str">
        <f t="shared" si="5"/>
        <v>Cultures lignocellulosiques</v>
      </c>
      <c r="D134" s="115"/>
      <c r="E134" s="510" t="s">
        <v>622</v>
      </c>
      <c r="F134" s="210">
        <v>0</v>
      </c>
      <c r="G134" s="211">
        <v>0</v>
      </c>
      <c r="H134" s="211">
        <v>0</v>
      </c>
      <c r="I134" s="211"/>
      <c r="J134" s="211">
        <v>0</v>
      </c>
      <c r="K134" s="211"/>
      <c r="L134" s="511">
        <v>0</v>
      </c>
      <c r="M134" s="115"/>
      <c r="O134" s="190"/>
    </row>
    <row r="135" spans="1:15" s="283" customFormat="1" outlineLevel="2">
      <c r="A135" s="363"/>
      <c r="B135" s="365"/>
      <c r="C135" s="151" t="str">
        <f t="shared" si="5"/>
        <v>Effluents d'élevage</v>
      </c>
      <c r="D135" s="115"/>
      <c r="E135" s="510" t="s">
        <v>623</v>
      </c>
      <c r="F135" s="210">
        <v>2.0586019855611193</v>
      </c>
      <c r="G135" s="211">
        <v>2.7149145883660308</v>
      </c>
      <c r="H135" s="211">
        <v>3.3712271911709424</v>
      </c>
      <c r="I135" s="211"/>
      <c r="J135" s="211">
        <v>4.5390785666799971</v>
      </c>
      <c r="K135" s="211"/>
      <c r="L135" s="511">
        <v>5.7069299421890518</v>
      </c>
      <c r="M135" s="115"/>
      <c r="O135" s="190"/>
    </row>
    <row r="136" spans="1:15" s="283" customFormat="1" outlineLevel="2">
      <c r="A136" s="363"/>
      <c r="B136" s="365"/>
      <c r="C136" s="151" t="str">
        <f t="shared" si="5"/>
        <v>STEP</v>
      </c>
      <c r="D136" s="115"/>
      <c r="E136" s="510" t="s">
        <v>624</v>
      </c>
      <c r="F136" s="210">
        <v>0.17899999999999999</v>
      </c>
      <c r="G136" s="211">
        <v>0.58344827586206893</v>
      </c>
      <c r="H136" s="211">
        <v>0.83275862068965523</v>
      </c>
      <c r="I136" s="211"/>
      <c r="J136" s="211">
        <v>1.3313793103448277</v>
      </c>
      <c r="K136" s="211"/>
      <c r="L136" s="511">
        <v>1.83</v>
      </c>
      <c r="M136" s="115"/>
      <c r="O136" s="190"/>
    </row>
    <row r="137" spans="1:15" s="283" customFormat="1" outlineLevel="2">
      <c r="A137" s="363"/>
      <c r="B137" s="365"/>
      <c r="C137" s="151" t="str">
        <f t="shared" si="5"/>
        <v>Décharges</v>
      </c>
      <c r="D137" s="115"/>
      <c r="E137" s="510" t="s">
        <v>625</v>
      </c>
      <c r="F137" s="210">
        <v>0.11799999999999999</v>
      </c>
      <c r="G137" s="211">
        <v>0.48724137931034484</v>
      </c>
      <c r="H137" s="211">
        <v>1.6768965517241379</v>
      </c>
      <c r="I137" s="211"/>
      <c r="J137" s="211">
        <v>1.6768965517241379</v>
      </c>
      <c r="K137" s="211"/>
      <c r="L137" s="511">
        <v>2.4700000000000002</v>
      </c>
      <c r="M137" s="115"/>
      <c r="O137" s="190"/>
    </row>
    <row r="138" spans="1:15" s="283" customFormat="1" outlineLevel="2">
      <c r="A138" s="363"/>
      <c r="B138" s="365"/>
      <c r="C138" s="151" t="str">
        <f t="shared" si="5"/>
        <v>Déchets lipidiques</v>
      </c>
      <c r="D138" s="115"/>
      <c r="E138" s="510" t="s">
        <v>626</v>
      </c>
      <c r="F138" s="210">
        <v>4</v>
      </c>
      <c r="G138" s="211">
        <v>4</v>
      </c>
      <c r="H138" s="211">
        <v>4</v>
      </c>
      <c r="I138" s="211"/>
      <c r="J138" s="211">
        <v>4</v>
      </c>
      <c r="K138" s="211"/>
      <c r="L138" s="511">
        <v>4</v>
      </c>
      <c r="M138" s="115"/>
      <c r="O138" s="190"/>
    </row>
    <row r="139" spans="1:15" s="283" customFormat="1" outlineLevel="2">
      <c r="A139" s="363"/>
      <c r="B139" s="365"/>
      <c r="C139" s="151" t="str">
        <f t="shared" si="5"/>
        <v>Déchets alimentaires</v>
      </c>
      <c r="D139" s="115"/>
      <c r="E139" s="510" t="s">
        <v>627</v>
      </c>
      <c r="F139" s="210">
        <v>0.3</v>
      </c>
      <c r="G139" s="211">
        <v>0.28559527511067584</v>
      </c>
      <c r="H139" s="211">
        <v>0.27119055022135174</v>
      </c>
      <c r="I139" s="211"/>
      <c r="J139" s="211">
        <v>0.33717476972360316</v>
      </c>
      <c r="K139" s="211"/>
      <c r="L139" s="511">
        <v>0.40315898922585464</v>
      </c>
      <c r="M139" s="115"/>
      <c r="O139" s="190"/>
    </row>
    <row r="140" spans="1:15" s="283" customFormat="1" outlineLevel="2">
      <c r="A140" s="363"/>
      <c r="B140" s="365"/>
      <c r="C140" s="151" t="str">
        <f t="shared" si="5"/>
        <v>Autres déchets industriels</v>
      </c>
      <c r="D140" s="115"/>
      <c r="E140" s="510" t="s">
        <v>628</v>
      </c>
      <c r="F140" s="210">
        <v>0.247</v>
      </c>
      <c r="G140" s="211">
        <v>0.497</v>
      </c>
      <c r="H140" s="211">
        <v>1.584137931034483</v>
      </c>
      <c r="I140" s="211"/>
      <c r="J140" s="211">
        <v>2.7920689655172413</v>
      </c>
      <c r="K140" s="211"/>
      <c r="L140" s="511">
        <v>4</v>
      </c>
      <c r="M140" s="115"/>
      <c r="O140" s="190"/>
    </row>
    <row r="141" spans="1:15" s="283" customFormat="1" ht="15" outlineLevel="2" thickBot="1">
      <c r="A141" s="363"/>
      <c r="B141" s="365"/>
      <c r="C141" s="151" t="str">
        <f t="shared" si="5"/>
        <v>Algues</v>
      </c>
      <c r="D141" s="115"/>
      <c r="E141" s="512" t="s">
        <v>629</v>
      </c>
      <c r="F141" s="513">
        <v>0</v>
      </c>
      <c r="G141" s="514">
        <v>0</v>
      </c>
      <c r="H141" s="514">
        <v>0</v>
      </c>
      <c r="I141" s="514"/>
      <c r="J141" s="514">
        <v>0</v>
      </c>
      <c r="K141" s="514"/>
      <c r="L141" s="515">
        <v>0</v>
      </c>
      <c r="M141" s="115"/>
      <c r="O141" s="190"/>
    </row>
    <row r="142" spans="1:15" s="283" customFormat="1" outlineLevel="2">
      <c r="A142" s="363"/>
      <c r="B142" s="365"/>
      <c r="C142" s="151" t="str">
        <f t="shared" si="5"/>
        <v xml:space="preserve"> Périmètre métropole</v>
      </c>
      <c r="D142" s="115"/>
      <c r="E142" s="642" t="s">
        <v>966</v>
      </c>
      <c r="F142" s="642"/>
      <c r="G142" s="642"/>
      <c r="H142" s="642"/>
      <c r="I142" s="642"/>
      <c r="J142" s="642"/>
      <c r="K142" s="642"/>
      <c r="L142" s="642"/>
      <c r="M142" s="115"/>
      <c r="O142" s="190"/>
    </row>
    <row r="143" spans="1:15" s="399" customFormat="1" outlineLevel="1">
      <c r="A143" s="363"/>
      <c r="B143" s="365"/>
      <c r="C143" s="151" t="str">
        <f t="shared" si="5"/>
        <v/>
      </c>
      <c r="D143" s="115"/>
      <c r="E143" s="387"/>
      <c r="F143" s="387"/>
      <c r="G143" s="387"/>
      <c r="H143" s="387"/>
      <c r="I143" s="387"/>
      <c r="J143" s="387"/>
      <c r="K143" s="387"/>
      <c r="L143" s="387"/>
      <c r="M143" s="115"/>
      <c r="O143" s="190"/>
    </row>
    <row r="144" spans="1:15" s="283" customFormat="1" ht="15" outlineLevel="1" thickBot="1">
      <c r="A144" s="363"/>
      <c r="B144" s="365"/>
      <c r="C144" s="151" t="str">
        <f t="shared" si="5"/>
        <v xml:space="preserve">Production de biomasse solide par ressource primaire </v>
      </c>
      <c r="D144" s="115"/>
      <c r="E144" s="627" t="s">
        <v>833</v>
      </c>
      <c r="F144" s="627"/>
      <c r="G144" s="627"/>
      <c r="H144" s="627"/>
      <c r="I144" s="627"/>
      <c r="J144" s="627"/>
      <c r="K144" s="627"/>
      <c r="L144" s="627"/>
      <c r="M144" s="115"/>
      <c r="O144" s="190"/>
    </row>
    <row r="145" spans="1:16" s="283" customFormat="1" outlineLevel="2">
      <c r="A145" s="363"/>
      <c r="B145" s="365"/>
      <c r="C145" s="151" t="str">
        <f t="shared" si="5"/>
        <v>Ressources finales (TWhEf)</v>
      </c>
      <c r="D145" s="115"/>
      <c r="E145" s="459" t="s">
        <v>634</v>
      </c>
      <c r="F145" s="494">
        <v>2019</v>
      </c>
      <c r="G145" s="494">
        <v>2025</v>
      </c>
      <c r="H145" s="494">
        <v>2030</v>
      </c>
      <c r="I145" s="494">
        <v>2035</v>
      </c>
      <c r="J145" s="494">
        <v>2040</v>
      </c>
      <c r="K145" s="494">
        <v>2045</v>
      </c>
      <c r="L145" s="495">
        <v>2050</v>
      </c>
      <c r="M145" s="115"/>
      <c r="O145" s="190"/>
    </row>
    <row r="146" spans="1:16" s="283" customFormat="1" outlineLevel="2">
      <c r="A146" s="363"/>
      <c r="B146" s="365"/>
      <c r="C146" s="151" t="str">
        <f t="shared" si="5"/>
        <v>Ressource primaire et connexes</v>
      </c>
      <c r="D146" s="115"/>
      <c r="E146" s="510" t="s">
        <v>614</v>
      </c>
      <c r="F146" s="210">
        <v>77.817988966579875</v>
      </c>
      <c r="G146" s="211">
        <v>78.25617804888725</v>
      </c>
      <c r="H146" s="211">
        <v>77.710806687463233</v>
      </c>
      <c r="I146" s="211"/>
      <c r="J146" s="211">
        <v>77.356842997979683</v>
      </c>
      <c r="K146" s="211"/>
      <c r="L146" s="511">
        <v>77.002879308496134</v>
      </c>
      <c r="M146" s="115"/>
      <c r="O146" s="190"/>
    </row>
    <row r="147" spans="1:16" s="283" customFormat="1" outlineLevel="2">
      <c r="A147" s="363"/>
      <c r="B147" s="365"/>
      <c r="C147" s="151" t="str">
        <f t="shared" si="5"/>
        <v>Déchets de bois en fin de vie</v>
      </c>
      <c r="D147" s="115"/>
      <c r="E147" s="510" t="s">
        <v>615</v>
      </c>
      <c r="F147" s="210">
        <v>9.8084424681851683</v>
      </c>
      <c r="G147" s="211">
        <v>11.057036574140655</v>
      </c>
      <c r="H147" s="211">
        <v>10.695734615530499</v>
      </c>
      <c r="I147" s="211"/>
      <c r="J147" s="211">
        <v>9.1786498008424218</v>
      </c>
      <c r="K147" s="211"/>
      <c r="L147" s="511">
        <v>7.661564986154346</v>
      </c>
      <c r="M147" s="115"/>
      <c r="O147" s="190"/>
      <c r="P147" s="379"/>
    </row>
    <row r="148" spans="1:16" s="283" customFormat="1" outlineLevel="2">
      <c r="A148" s="363"/>
      <c r="B148" s="365"/>
      <c r="C148" s="151" t="str">
        <f t="shared" si="5"/>
        <v>Dérivés de l'industrie du bois (boues de papeterie, liqueur noire, etc.)</v>
      </c>
      <c r="D148" s="115"/>
      <c r="E148" s="510" t="s">
        <v>616</v>
      </c>
      <c r="F148" s="210">
        <v>16.671428571428571</v>
      </c>
      <c r="G148" s="211">
        <v>16.685714285714283</v>
      </c>
      <c r="H148" s="211">
        <v>16.671428571428571</v>
      </c>
      <c r="I148" s="211"/>
      <c r="J148" s="211">
        <v>16.671428571428571</v>
      </c>
      <c r="K148" s="211"/>
      <c r="L148" s="511">
        <v>16.671428571428571</v>
      </c>
      <c r="M148" s="115"/>
      <c r="O148" s="190"/>
      <c r="P148" s="379"/>
    </row>
    <row r="149" spans="1:16" s="283" customFormat="1" outlineLevel="2">
      <c r="A149" s="363"/>
      <c r="B149" s="365"/>
      <c r="C149" s="151" t="str">
        <f t="shared" si="5"/>
        <v>Total Bois forêt - connexes - déchets</v>
      </c>
      <c r="D149" s="115"/>
      <c r="E149" s="516" t="s">
        <v>630</v>
      </c>
      <c r="F149" s="182">
        <f>SUM(F146:F148)</f>
        <v>104.29786000619362</v>
      </c>
      <c r="G149" s="182">
        <f t="shared" ref="G149:L149" si="6">SUM(G146:G148)</f>
        <v>105.99892890874219</v>
      </c>
      <c r="H149" s="182">
        <f t="shared" si="6"/>
        <v>105.07796987442231</v>
      </c>
      <c r="I149" s="182"/>
      <c r="J149" s="182">
        <f t="shared" si="6"/>
        <v>103.20692137025068</v>
      </c>
      <c r="K149" s="182"/>
      <c r="L149" s="517">
        <f t="shared" si="6"/>
        <v>101.33587286607906</v>
      </c>
      <c r="M149" s="115"/>
      <c r="O149" s="190"/>
    </row>
    <row r="150" spans="1:16" s="283" customFormat="1" outlineLevel="2">
      <c r="A150" s="363"/>
      <c r="B150" s="365"/>
      <c r="C150" s="151" t="str">
        <f t="shared" si="5"/>
        <v>Bois hors forêt (haies et agroforesterie)</v>
      </c>
      <c r="D150" s="115"/>
      <c r="E150" s="510" t="s">
        <v>617</v>
      </c>
      <c r="F150" s="210">
        <v>22.810767964023409</v>
      </c>
      <c r="G150" s="211">
        <v>26.32789906245058</v>
      </c>
      <c r="H150" s="211">
        <v>29.845030160877752</v>
      </c>
      <c r="I150" s="211"/>
      <c r="J150" s="211">
        <v>29.542795499254126</v>
      </c>
      <c r="K150" s="211"/>
      <c r="L150" s="511">
        <v>29.240560837630504</v>
      </c>
      <c r="M150" s="115"/>
      <c r="O150" s="190"/>
    </row>
    <row r="151" spans="1:16" s="283" customFormat="1" outlineLevel="2">
      <c r="A151" s="363"/>
      <c r="B151" s="365"/>
      <c r="C151" s="151" t="str">
        <f t="shared" si="5"/>
        <v>Résidus de culture</v>
      </c>
      <c r="D151" s="115"/>
      <c r="E151" s="510" t="s">
        <v>618</v>
      </c>
      <c r="F151" s="210">
        <v>3.9021247004975161</v>
      </c>
      <c r="G151" s="211">
        <v>3.4152393784139758</v>
      </c>
      <c r="H151" s="211">
        <v>2.9355557119892475</v>
      </c>
      <c r="I151" s="211"/>
      <c r="J151" s="211">
        <v>3.2411681221246185</v>
      </c>
      <c r="K151" s="211"/>
      <c r="L151" s="511">
        <v>3.5467805322599908</v>
      </c>
      <c r="M151" s="115"/>
      <c r="O151" s="190"/>
    </row>
    <row r="152" spans="1:16" s="283" customFormat="1" outlineLevel="2">
      <c r="A152" s="363"/>
      <c r="B152" s="365"/>
      <c r="C152" s="151" t="str">
        <f t="shared" si="5"/>
        <v>Herbe et cultures fourragères</v>
      </c>
      <c r="D152" s="115"/>
      <c r="E152" s="510" t="s">
        <v>619</v>
      </c>
      <c r="F152" s="210">
        <v>0</v>
      </c>
      <c r="G152" s="211">
        <v>0</v>
      </c>
      <c r="H152" s="211">
        <v>0</v>
      </c>
      <c r="I152" s="211"/>
      <c r="J152" s="211">
        <v>0</v>
      </c>
      <c r="K152" s="211"/>
      <c r="L152" s="511">
        <v>0</v>
      </c>
      <c r="M152" s="115"/>
      <c r="O152" s="190"/>
    </row>
    <row r="153" spans="1:16" s="283" customFormat="1" outlineLevel="2">
      <c r="A153" s="363"/>
      <c r="B153" s="365"/>
      <c r="C153" s="151" t="str">
        <f t="shared" si="5"/>
        <v>Cultures dédiées</v>
      </c>
      <c r="D153" s="115"/>
      <c r="E153" s="510" t="s">
        <v>620</v>
      </c>
      <c r="F153" s="210">
        <v>0</v>
      </c>
      <c r="G153" s="211">
        <v>0</v>
      </c>
      <c r="H153" s="211">
        <v>0</v>
      </c>
      <c r="I153" s="211"/>
      <c r="J153" s="211">
        <v>0</v>
      </c>
      <c r="K153" s="211"/>
      <c r="L153" s="511">
        <v>0</v>
      </c>
      <c r="M153" s="115"/>
      <c r="O153" s="190"/>
    </row>
    <row r="154" spans="1:16" s="283" customFormat="1" outlineLevel="2">
      <c r="A154" s="363"/>
      <c r="B154" s="365"/>
      <c r="C154" s="151" t="str">
        <f t="shared" si="5"/>
        <v>Cultures intermédiaires</v>
      </c>
      <c r="D154" s="115"/>
      <c r="E154" s="510" t="s">
        <v>621</v>
      </c>
      <c r="F154" s="210">
        <v>0</v>
      </c>
      <c r="G154" s="211">
        <v>0</v>
      </c>
      <c r="H154" s="211">
        <v>0</v>
      </c>
      <c r="I154" s="211"/>
      <c r="J154" s="211">
        <v>0</v>
      </c>
      <c r="K154" s="211"/>
      <c r="L154" s="511">
        <v>0</v>
      </c>
      <c r="M154" s="115"/>
      <c r="O154" s="190"/>
    </row>
    <row r="155" spans="1:16" s="283" customFormat="1" outlineLevel="2">
      <c r="A155" s="363"/>
      <c r="B155" s="365"/>
      <c r="C155" s="151" t="str">
        <f t="shared" si="5"/>
        <v>Cultures lignocellulosiques</v>
      </c>
      <c r="D155" s="115"/>
      <c r="E155" s="510" t="s">
        <v>622</v>
      </c>
      <c r="F155" s="210">
        <v>0</v>
      </c>
      <c r="G155" s="211">
        <v>0</v>
      </c>
      <c r="H155" s="211">
        <v>0</v>
      </c>
      <c r="I155" s="211"/>
      <c r="J155" s="211">
        <v>0</v>
      </c>
      <c r="K155" s="211"/>
      <c r="L155" s="511">
        <v>0</v>
      </c>
      <c r="M155" s="115"/>
      <c r="O155" s="190"/>
    </row>
    <row r="156" spans="1:16" s="283" customFormat="1" outlineLevel="2">
      <c r="A156" s="363"/>
      <c r="B156" s="365"/>
      <c r="C156" s="151" t="str">
        <f t="shared" si="5"/>
        <v>Effluents d'élevage</v>
      </c>
      <c r="D156" s="115"/>
      <c r="E156" s="510" t="s">
        <v>623</v>
      </c>
      <c r="F156" s="210">
        <v>0</v>
      </c>
      <c r="G156" s="211">
        <v>0</v>
      </c>
      <c r="H156" s="211">
        <v>0</v>
      </c>
      <c r="I156" s="211"/>
      <c r="J156" s="211">
        <v>0</v>
      </c>
      <c r="K156" s="211"/>
      <c r="L156" s="511">
        <v>0</v>
      </c>
      <c r="M156" s="115"/>
      <c r="O156" s="190"/>
    </row>
    <row r="157" spans="1:16" s="283" customFormat="1" outlineLevel="2">
      <c r="A157" s="363"/>
      <c r="B157" s="365"/>
      <c r="C157" s="151" t="str">
        <f t="shared" si="5"/>
        <v>Total biomasse agricole</v>
      </c>
      <c r="D157" s="115"/>
      <c r="E157" s="516" t="s">
        <v>631</v>
      </c>
      <c r="F157" s="182">
        <f>SUM(F150:F156)</f>
        <v>26.712892664520925</v>
      </c>
      <c r="G157" s="182">
        <f t="shared" ref="G157:L157" si="7">SUM(G150:G156)</f>
        <v>29.743138440864556</v>
      </c>
      <c r="H157" s="182">
        <f t="shared" si="7"/>
        <v>32.780585872867</v>
      </c>
      <c r="I157" s="182"/>
      <c r="J157" s="182">
        <f t="shared" si="7"/>
        <v>32.783963621378746</v>
      </c>
      <c r="K157" s="182"/>
      <c r="L157" s="517">
        <f t="shared" si="7"/>
        <v>32.787341369890498</v>
      </c>
      <c r="M157" s="115"/>
      <c r="O157" s="190"/>
    </row>
    <row r="158" spans="1:16" s="283" customFormat="1" outlineLevel="2">
      <c r="A158" s="363"/>
      <c r="B158" s="365"/>
      <c r="C158" s="151" t="str">
        <f t="shared" si="5"/>
        <v>STEP</v>
      </c>
      <c r="D158" s="115"/>
      <c r="E158" s="510" t="s">
        <v>624</v>
      </c>
      <c r="F158" s="210">
        <v>0</v>
      </c>
      <c r="G158" s="211">
        <v>0</v>
      </c>
      <c r="H158" s="211">
        <v>0</v>
      </c>
      <c r="I158" s="211"/>
      <c r="J158" s="211">
        <v>0</v>
      </c>
      <c r="K158" s="211"/>
      <c r="L158" s="511">
        <v>0</v>
      </c>
      <c r="M158" s="115"/>
      <c r="O158" s="190"/>
    </row>
    <row r="159" spans="1:16" s="283" customFormat="1" outlineLevel="2">
      <c r="A159" s="363"/>
      <c r="B159" s="365"/>
      <c r="C159" s="151" t="str">
        <f t="shared" si="5"/>
        <v>Décharges</v>
      </c>
      <c r="D159" s="115"/>
      <c r="E159" s="510" t="s">
        <v>625</v>
      </c>
      <c r="F159" s="210">
        <v>0</v>
      </c>
      <c r="G159" s="211">
        <v>0</v>
      </c>
      <c r="H159" s="211">
        <v>0</v>
      </c>
      <c r="I159" s="211"/>
      <c r="J159" s="211">
        <v>0</v>
      </c>
      <c r="K159" s="211"/>
      <c r="L159" s="511">
        <v>0</v>
      </c>
      <c r="M159" s="115"/>
      <c r="O159" s="190"/>
    </row>
    <row r="160" spans="1:16" s="283" customFormat="1" outlineLevel="2">
      <c r="A160" s="363"/>
      <c r="B160" s="365"/>
      <c r="C160" s="151" t="str">
        <f t="shared" si="5"/>
        <v>Déchets lipidiques</v>
      </c>
      <c r="D160" s="115"/>
      <c r="E160" s="510" t="s">
        <v>626</v>
      </c>
      <c r="F160" s="210">
        <v>0</v>
      </c>
      <c r="G160" s="211">
        <v>0</v>
      </c>
      <c r="H160" s="211">
        <v>0</v>
      </c>
      <c r="I160" s="211"/>
      <c r="J160" s="211">
        <v>0</v>
      </c>
      <c r="K160" s="211"/>
      <c r="L160" s="511">
        <v>0</v>
      </c>
      <c r="M160" s="115"/>
      <c r="O160" s="190"/>
    </row>
    <row r="161" spans="1:16" s="283" customFormat="1" outlineLevel="2">
      <c r="A161" s="363"/>
      <c r="B161" s="365"/>
      <c r="C161" s="151" t="str">
        <f t="shared" si="5"/>
        <v>Déchets alimentaires</v>
      </c>
      <c r="D161" s="115"/>
      <c r="E161" s="510" t="s">
        <v>627</v>
      </c>
      <c r="F161" s="210">
        <v>0</v>
      </c>
      <c r="G161" s="211">
        <v>0</v>
      </c>
      <c r="H161" s="211">
        <v>0</v>
      </c>
      <c r="I161" s="211"/>
      <c r="J161" s="211">
        <v>0</v>
      </c>
      <c r="K161" s="211"/>
      <c r="L161" s="511">
        <v>0</v>
      </c>
      <c r="M161" s="115"/>
      <c r="O161" s="190"/>
    </row>
    <row r="162" spans="1:16" s="283" customFormat="1" outlineLevel="2">
      <c r="A162" s="363"/>
      <c r="B162" s="365"/>
      <c r="C162" s="151" t="str">
        <f t="shared" si="5"/>
        <v>Autres déchets industriels</v>
      </c>
      <c r="D162" s="115"/>
      <c r="E162" s="510" t="s">
        <v>628</v>
      </c>
      <c r="F162" s="210">
        <v>0</v>
      </c>
      <c r="G162" s="211">
        <v>0</v>
      </c>
      <c r="H162" s="211">
        <v>0</v>
      </c>
      <c r="I162" s="211"/>
      <c r="J162" s="211">
        <v>0</v>
      </c>
      <c r="K162" s="211"/>
      <c r="L162" s="511">
        <v>0</v>
      </c>
      <c r="M162" s="115"/>
      <c r="O162" s="190"/>
    </row>
    <row r="163" spans="1:16" s="283" customFormat="1" outlineLevel="2">
      <c r="A163" s="363"/>
      <c r="B163" s="365"/>
      <c r="C163" s="151" t="str">
        <f t="shared" si="5"/>
        <v>Total Déchets</v>
      </c>
      <c r="D163" s="115"/>
      <c r="E163" s="516" t="s">
        <v>632</v>
      </c>
      <c r="F163" s="182">
        <f>SUM(F158:F162)</f>
        <v>0</v>
      </c>
      <c r="G163" s="182">
        <f t="shared" ref="G163:L163" si="8">SUM(G158:G162)</f>
        <v>0</v>
      </c>
      <c r="H163" s="182">
        <f t="shared" si="8"/>
        <v>0</v>
      </c>
      <c r="I163" s="182"/>
      <c r="J163" s="182">
        <f t="shared" si="8"/>
        <v>0</v>
      </c>
      <c r="K163" s="182"/>
      <c r="L163" s="517">
        <f t="shared" si="8"/>
        <v>0</v>
      </c>
      <c r="M163" s="115"/>
      <c r="O163" s="190"/>
    </row>
    <row r="164" spans="1:16" s="283" customFormat="1" outlineLevel="2">
      <c r="A164" s="363"/>
      <c r="B164" s="365"/>
      <c r="C164" s="151" t="str">
        <f t="shared" si="5"/>
        <v>Algues</v>
      </c>
      <c r="D164" s="115"/>
      <c r="E164" s="510" t="s">
        <v>629</v>
      </c>
      <c r="F164" s="210">
        <v>0</v>
      </c>
      <c r="G164" s="211">
        <v>0</v>
      </c>
      <c r="H164" s="211">
        <v>0</v>
      </c>
      <c r="I164" s="211"/>
      <c r="J164" s="211">
        <v>0</v>
      </c>
      <c r="K164" s="211"/>
      <c r="L164" s="511">
        <v>0</v>
      </c>
      <c r="M164" s="115"/>
      <c r="O164" s="190"/>
    </row>
    <row r="165" spans="1:16" s="283" customFormat="1" ht="15" outlineLevel="2" thickBot="1">
      <c r="A165" s="363"/>
      <c r="B165" s="365"/>
      <c r="C165" s="151" t="str">
        <f t="shared" si="5"/>
        <v xml:space="preserve">Total biomasse  </v>
      </c>
      <c r="D165" s="115"/>
      <c r="E165" s="518" t="s">
        <v>633</v>
      </c>
      <c r="F165" s="519">
        <f>SUM(F149,F157,F163)</f>
        <v>131.01075267071454</v>
      </c>
      <c r="G165" s="519">
        <f t="shared" ref="G165:L165" si="9">SUM(G149,G157,G163)</f>
        <v>135.74206734960674</v>
      </c>
      <c r="H165" s="519">
        <f t="shared" si="9"/>
        <v>137.8585557472893</v>
      </c>
      <c r="I165" s="519"/>
      <c r="J165" s="519">
        <f t="shared" si="9"/>
        <v>135.99088499162943</v>
      </c>
      <c r="K165" s="519"/>
      <c r="L165" s="520">
        <f t="shared" si="9"/>
        <v>134.12321423596956</v>
      </c>
      <c r="M165" s="115"/>
      <c r="O165" s="190"/>
    </row>
    <row r="166" spans="1:16" s="283" customFormat="1" outlineLevel="2">
      <c r="A166" s="363"/>
      <c r="B166" s="365"/>
      <c r="C166" s="151" t="str">
        <f t="shared" si="5"/>
        <v xml:space="preserve"> Périmètre métropole</v>
      </c>
      <c r="D166" s="115"/>
      <c r="E166" s="642" t="s">
        <v>966</v>
      </c>
      <c r="F166" s="642"/>
      <c r="G166" s="642"/>
      <c r="H166" s="642"/>
      <c r="I166" s="642"/>
      <c r="J166" s="642"/>
      <c r="K166" s="642"/>
      <c r="L166" s="642"/>
      <c r="M166" s="115"/>
      <c r="O166" s="190"/>
    </row>
    <row r="167" spans="1:16" s="399" customFormat="1" outlineLevel="1">
      <c r="A167" s="363"/>
      <c r="B167" s="365"/>
      <c r="C167" s="151" t="str">
        <f t="shared" si="5"/>
        <v/>
      </c>
      <c r="D167" s="115"/>
      <c r="E167" s="405"/>
      <c r="F167" s="405"/>
      <c r="G167" s="405"/>
      <c r="H167" s="405"/>
      <c r="I167" s="405"/>
      <c r="J167" s="405"/>
      <c r="K167" s="405"/>
      <c r="L167" s="405"/>
      <c r="M167" s="115"/>
      <c r="O167" s="190"/>
    </row>
    <row r="168" spans="1:16" s="283" customFormat="1" ht="15" outlineLevel="1" thickBot="1">
      <c r="A168" s="363"/>
      <c r="B168" s="365"/>
      <c r="C168" s="151" t="str">
        <f t="shared" si="5"/>
        <v>Production de biocarburants par ressource primaire</v>
      </c>
      <c r="D168" s="115"/>
      <c r="E168" s="627" t="s">
        <v>834</v>
      </c>
      <c r="F168" s="627"/>
      <c r="G168" s="627"/>
      <c r="H168" s="627"/>
      <c r="I168" s="627"/>
      <c r="J168" s="627"/>
      <c r="K168" s="627"/>
      <c r="L168" s="627"/>
      <c r="M168" s="115"/>
      <c r="O168" s="190"/>
    </row>
    <row r="169" spans="1:16" s="283" customFormat="1" outlineLevel="2">
      <c r="A169" s="363"/>
      <c r="B169" s="365"/>
      <c r="C169" s="151" t="str">
        <f t="shared" si="5"/>
        <v>Ressources finales (TWhEf)</v>
      </c>
      <c r="D169" s="115"/>
      <c r="E169" s="459" t="s">
        <v>634</v>
      </c>
      <c r="F169" s="494">
        <v>2019</v>
      </c>
      <c r="G169" s="494">
        <v>2025</v>
      </c>
      <c r="H169" s="494">
        <v>2030</v>
      </c>
      <c r="I169" s="494">
        <v>2035</v>
      </c>
      <c r="J169" s="494">
        <v>2040</v>
      </c>
      <c r="K169" s="494">
        <v>2045</v>
      </c>
      <c r="L169" s="495">
        <v>2050</v>
      </c>
      <c r="M169" s="115"/>
      <c r="O169" s="380"/>
    </row>
    <row r="170" spans="1:16" s="283" customFormat="1" outlineLevel="2">
      <c r="A170" s="363"/>
      <c r="B170" s="365"/>
      <c r="C170" s="151" t="str">
        <f t="shared" si="5"/>
        <v>Ressource primaire et connexes</v>
      </c>
      <c r="D170" s="115"/>
      <c r="E170" s="510" t="s">
        <v>614</v>
      </c>
      <c r="F170" s="210">
        <v>0</v>
      </c>
      <c r="G170" s="211">
        <v>0</v>
      </c>
      <c r="H170" s="211">
        <v>0</v>
      </c>
      <c r="I170" s="211"/>
      <c r="J170" s="211">
        <v>0</v>
      </c>
      <c r="K170" s="211"/>
      <c r="L170" s="511">
        <v>0</v>
      </c>
      <c r="M170" s="115"/>
      <c r="O170" s="190"/>
    </row>
    <row r="171" spans="1:16" s="283" customFormat="1" outlineLevel="2">
      <c r="A171" s="363"/>
      <c r="B171" s="365"/>
      <c r="C171" s="151" t="str">
        <f t="shared" si="5"/>
        <v>Déchets de bois en fin de vie</v>
      </c>
      <c r="D171" s="115"/>
      <c r="E171" s="510" t="s">
        <v>615</v>
      </c>
      <c r="F171" s="210">
        <v>0</v>
      </c>
      <c r="G171" s="211">
        <v>0</v>
      </c>
      <c r="H171" s="211">
        <v>0</v>
      </c>
      <c r="I171" s="211"/>
      <c r="J171" s="211">
        <v>0</v>
      </c>
      <c r="K171" s="211"/>
      <c r="L171" s="511">
        <v>0</v>
      </c>
      <c r="M171" s="115"/>
      <c r="O171" s="190"/>
      <c r="P171" s="379"/>
    </row>
    <row r="172" spans="1:16" s="283" customFormat="1" outlineLevel="2">
      <c r="A172" s="363"/>
      <c r="B172" s="365"/>
      <c r="C172" s="151" t="str">
        <f t="shared" si="5"/>
        <v>Dérivés de l'industrie du bois (boues de papeterie, liqueur noire, etc.)</v>
      </c>
      <c r="D172" s="115"/>
      <c r="E172" s="510" t="s">
        <v>616</v>
      </c>
      <c r="F172" s="210">
        <v>0</v>
      </c>
      <c r="G172" s="211">
        <v>0</v>
      </c>
      <c r="H172" s="211">
        <v>0</v>
      </c>
      <c r="I172" s="211"/>
      <c r="J172" s="211">
        <v>0</v>
      </c>
      <c r="K172" s="211"/>
      <c r="L172" s="511">
        <v>0</v>
      </c>
      <c r="M172" s="115"/>
      <c r="O172" s="190"/>
      <c r="P172" s="379"/>
    </row>
    <row r="173" spans="1:16" s="283" customFormat="1" outlineLevel="2">
      <c r="A173" s="363"/>
      <c r="B173" s="365"/>
      <c r="C173" s="151" t="str">
        <f t="shared" si="5"/>
        <v>Total Bois forêt - connexes - déchets</v>
      </c>
      <c r="D173" s="115"/>
      <c r="E173" s="516" t="s">
        <v>630</v>
      </c>
      <c r="F173" s="182">
        <f>SUM(F170:F172)</f>
        <v>0</v>
      </c>
      <c r="G173" s="182">
        <f t="shared" ref="G173:L173" si="10">SUM(G170:G172)</f>
        <v>0</v>
      </c>
      <c r="H173" s="182">
        <f t="shared" si="10"/>
        <v>0</v>
      </c>
      <c r="I173" s="182"/>
      <c r="J173" s="182">
        <f t="shared" si="10"/>
        <v>0</v>
      </c>
      <c r="K173" s="182"/>
      <c r="L173" s="517">
        <f t="shared" si="10"/>
        <v>0</v>
      </c>
      <c r="M173" s="115"/>
      <c r="O173" s="190"/>
    </row>
    <row r="174" spans="1:16" s="283" customFormat="1" outlineLevel="2">
      <c r="A174" s="363"/>
      <c r="B174" s="365"/>
      <c r="C174" s="151" t="str">
        <f t="shared" si="5"/>
        <v>Bois hors forêt (haies et agroforesterie)</v>
      </c>
      <c r="D174" s="115"/>
      <c r="E174" s="510" t="s">
        <v>617</v>
      </c>
      <c r="F174" s="210">
        <v>0</v>
      </c>
      <c r="G174" s="211">
        <v>0</v>
      </c>
      <c r="H174" s="211">
        <v>0</v>
      </c>
      <c r="I174" s="211"/>
      <c r="J174" s="211">
        <v>0</v>
      </c>
      <c r="K174" s="211"/>
      <c r="L174" s="511">
        <v>0</v>
      </c>
      <c r="M174" s="115"/>
      <c r="O174" s="190"/>
    </row>
    <row r="175" spans="1:16" s="283" customFormat="1" outlineLevel="2">
      <c r="A175" s="363"/>
      <c r="B175" s="365"/>
      <c r="C175" s="151" t="str">
        <f t="shared" si="5"/>
        <v>Résidus de culture</v>
      </c>
      <c r="D175" s="115"/>
      <c r="E175" s="510" t="s">
        <v>618</v>
      </c>
      <c r="F175" s="210">
        <v>0</v>
      </c>
      <c r="G175" s="211">
        <v>1.6133564667291345</v>
      </c>
      <c r="H175" s="211">
        <v>3.2291112831881716</v>
      </c>
      <c r="I175" s="211"/>
      <c r="J175" s="211">
        <v>5.5160142270800758</v>
      </c>
      <c r="K175" s="211"/>
      <c r="L175" s="511">
        <v>7.8029171709719796</v>
      </c>
      <c r="M175" s="115"/>
      <c r="O175" s="190"/>
    </row>
    <row r="176" spans="1:16" s="283" customFormat="1" outlineLevel="2">
      <c r="A176" s="363"/>
      <c r="B176" s="365"/>
      <c r="C176" s="151" t="str">
        <f t="shared" si="5"/>
        <v>Herbe et cultures fourragères</v>
      </c>
      <c r="D176" s="115"/>
      <c r="E176" s="510" t="s">
        <v>619</v>
      </c>
      <c r="F176" s="210">
        <v>0</v>
      </c>
      <c r="G176" s="211">
        <v>0</v>
      </c>
      <c r="H176" s="211">
        <v>0</v>
      </c>
      <c r="I176" s="211"/>
      <c r="J176" s="211">
        <v>0</v>
      </c>
      <c r="K176" s="211"/>
      <c r="L176" s="511">
        <v>0</v>
      </c>
      <c r="M176" s="115"/>
      <c r="O176" s="190"/>
    </row>
    <row r="177" spans="1:15" s="283" customFormat="1" outlineLevel="2">
      <c r="A177" s="363"/>
      <c r="B177" s="365"/>
      <c r="C177" s="151" t="str">
        <f t="shared" si="5"/>
        <v>Cultures dédiées</v>
      </c>
      <c r="D177" s="115"/>
      <c r="E177" s="510" t="s">
        <v>620</v>
      </c>
      <c r="F177" s="210">
        <v>34.448189511328742</v>
      </c>
      <c r="G177" s="211">
        <v>34.047559523374709</v>
      </c>
      <c r="H177" s="211">
        <v>32.211588305781973</v>
      </c>
      <c r="I177" s="211"/>
      <c r="J177" s="211">
        <v>28.685151263362521</v>
      </c>
      <c r="K177" s="211"/>
      <c r="L177" s="511">
        <v>25.158714220943072</v>
      </c>
      <c r="M177" s="115"/>
      <c r="O177" s="190"/>
    </row>
    <row r="178" spans="1:15" s="283" customFormat="1" outlineLevel="2">
      <c r="A178" s="363"/>
      <c r="B178" s="365"/>
      <c r="C178" s="151" t="str">
        <f t="shared" si="5"/>
        <v>Cultures intermédiaires</v>
      </c>
      <c r="D178" s="115"/>
      <c r="E178" s="510" t="s">
        <v>621</v>
      </c>
      <c r="F178" s="210">
        <v>0</v>
      </c>
      <c r="G178" s="211">
        <v>0</v>
      </c>
      <c r="H178" s="211">
        <v>0</v>
      </c>
      <c r="I178" s="211"/>
      <c r="J178" s="211">
        <v>0</v>
      </c>
      <c r="K178" s="211"/>
      <c r="L178" s="511">
        <v>0</v>
      </c>
      <c r="M178" s="115"/>
      <c r="O178" s="190"/>
    </row>
    <row r="179" spans="1:15" s="283" customFormat="1" outlineLevel="2">
      <c r="A179" s="363"/>
      <c r="B179" s="365"/>
      <c r="C179" s="151" t="str">
        <f t="shared" si="5"/>
        <v>Cultures lignocellulosiques</v>
      </c>
      <c r="D179" s="115"/>
      <c r="E179" s="510" t="s">
        <v>622</v>
      </c>
      <c r="F179" s="210">
        <v>0</v>
      </c>
      <c r="G179" s="211">
        <v>0</v>
      </c>
      <c r="H179" s="211">
        <v>0</v>
      </c>
      <c r="I179" s="211"/>
      <c r="J179" s="211">
        <v>0</v>
      </c>
      <c r="K179" s="211"/>
      <c r="L179" s="511">
        <v>0</v>
      </c>
      <c r="M179" s="115"/>
      <c r="O179" s="190"/>
    </row>
    <row r="180" spans="1:15" s="283" customFormat="1" outlineLevel="2">
      <c r="A180" s="363"/>
      <c r="B180" s="365"/>
      <c r="C180" s="151" t="str">
        <f t="shared" si="5"/>
        <v>Effluents d'élevage</v>
      </c>
      <c r="D180" s="115"/>
      <c r="E180" s="510" t="s">
        <v>623</v>
      </c>
      <c r="F180" s="210">
        <v>0</v>
      </c>
      <c r="G180" s="211">
        <v>0</v>
      </c>
      <c r="H180" s="211">
        <v>0</v>
      </c>
      <c r="I180" s="211"/>
      <c r="J180" s="211">
        <v>0</v>
      </c>
      <c r="K180" s="211"/>
      <c r="L180" s="511">
        <v>0</v>
      </c>
      <c r="M180" s="115"/>
      <c r="O180" s="190"/>
    </row>
    <row r="181" spans="1:15" s="283" customFormat="1" outlineLevel="2">
      <c r="A181" s="363"/>
      <c r="B181" s="365"/>
      <c r="C181" s="151" t="str">
        <f t="shared" si="5"/>
        <v>Total biomasse agricole</v>
      </c>
      <c r="D181" s="115"/>
      <c r="E181" s="516" t="s">
        <v>631</v>
      </c>
      <c r="F181" s="182">
        <f>SUM(F174:F180)</f>
        <v>34.448189511328742</v>
      </c>
      <c r="G181" s="182">
        <f t="shared" ref="G181:L181" si="11">SUM(G174:G180)</f>
        <v>35.660915990103845</v>
      </c>
      <c r="H181" s="182">
        <f t="shared" si="11"/>
        <v>35.440699588970148</v>
      </c>
      <c r="I181" s="182"/>
      <c r="J181" s="182">
        <f t="shared" si="11"/>
        <v>34.201165490442598</v>
      </c>
      <c r="K181" s="182"/>
      <c r="L181" s="517">
        <f t="shared" si="11"/>
        <v>32.961631391915049</v>
      </c>
      <c r="M181" s="115"/>
      <c r="O181" s="190"/>
    </row>
    <row r="182" spans="1:15" s="283" customFormat="1" outlineLevel="2">
      <c r="A182" s="363"/>
      <c r="B182" s="365"/>
      <c r="C182" s="151" t="str">
        <f t="shared" si="5"/>
        <v>STEP</v>
      </c>
      <c r="D182" s="115"/>
      <c r="E182" s="510" t="s">
        <v>624</v>
      </c>
      <c r="F182" s="210">
        <v>0</v>
      </c>
      <c r="G182" s="211">
        <v>0</v>
      </c>
      <c r="H182" s="211">
        <v>0</v>
      </c>
      <c r="I182" s="211"/>
      <c r="J182" s="211">
        <v>0</v>
      </c>
      <c r="K182" s="211"/>
      <c r="L182" s="511">
        <v>0</v>
      </c>
      <c r="M182" s="115"/>
      <c r="O182" s="190"/>
    </row>
    <row r="183" spans="1:15" s="283" customFormat="1" outlineLevel="2">
      <c r="A183" s="363"/>
      <c r="B183" s="365"/>
      <c r="C183" s="151" t="str">
        <f t="shared" si="5"/>
        <v>Décharges</v>
      </c>
      <c r="D183" s="115"/>
      <c r="E183" s="510" t="s">
        <v>625</v>
      </c>
      <c r="F183" s="210">
        <v>0</v>
      </c>
      <c r="G183" s="211">
        <v>0</v>
      </c>
      <c r="H183" s="211">
        <v>0</v>
      </c>
      <c r="I183" s="211"/>
      <c r="J183" s="211">
        <v>0</v>
      </c>
      <c r="K183" s="211"/>
      <c r="L183" s="511">
        <v>0</v>
      </c>
      <c r="M183" s="115"/>
      <c r="O183" s="190"/>
    </row>
    <row r="184" spans="1:15" s="283" customFormat="1" outlineLevel="2">
      <c r="A184" s="363"/>
      <c r="B184" s="365"/>
      <c r="C184" s="151" t="str">
        <f t="shared" si="5"/>
        <v>Déchets lipidiques</v>
      </c>
      <c r="D184" s="115"/>
      <c r="E184" s="510" t="s">
        <v>626</v>
      </c>
      <c r="F184" s="210">
        <v>4</v>
      </c>
      <c r="G184" s="211">
        <v>4</v>
      </c>
      <c r="H184" s="211">
        <v>4</v>
      </c>
      <c r="I184" s="211"/>
      <c r="J184" s="211">
        <v>4</v>
      </c>
      <c r="K184" s="211"/>
      <c r="L184" s="511">
        <v>4</v>
      </c>
      <c r="M184" s="115"/>
      <c r="O184" s="190"/>
    </row>
    <row r="185" spans="1:15" s="283" customFormat="1" outlineLevel="2">
      <c r="A185" s="363"/>
      <c r="B185" s="365"/>
      <c r="C185" s="151" t="str">
        <f t="shared" si="5"/>
        <v>Déchets alimentaires</v>
      </c>
      <c r="D185" s="115"/>
      <c r="E185" s="510" t="s">
        <v>627</v>
      </c>
      <c r="F185" s="210">
        <v>0</v>
      </c>
      <c r="G185" s="211">
        <v>0</v>
      </c>
      <c r="H185" s="211">
        <v>0</v>
      </c>
      <c r="I185" s="211"/>
      <c r="J185" s="211">
        <v>0</v>
      </c>
      <c r="K185" s="211"/>
      <c r="L185" s="511">
        <v>0</v>
      </c>
      <c r="M185" s="115"/>
      <c r="O185" s="190"/>
    </row>
    <row r="186" spans="1:15" s="283" customFormat="1" outlineLevel="2">
      <c r="A186" s="363"/>
      <c r="B186" s="365"/>
      <c r="C186" s="151" t="str">
        <f t="shared" si="5"/>
        <v>Autres déchets industriels</v>
      </c>
      <c r="D186" s="115"/>
      <c r="E186" s="510" t="s">
        <v>628</v>
      </c>
      <c r="F186" s="210">
        <v>0</v>
      </c>
      <c r="G186" s="211">
        <v>0</v>
      </c>
      <c r="H186" s="211">
        <v>0</v>
      </c>
      <c r="I186" s="211"/>
      <c r="J186" s="211">
        <v>0</v>
      </c>
      <c r="K186" s="211"/>
      <c r="L186" s="511">
        <v>0</v>
      </c>
      <c r="M186" s="115"/>
      <c r="O186" s="190"/>
    </row>
    <row r="187" spans="1:15" s="283" customFormat="1" outlineLevel="2">
      <c r="A187" s="363"/>
      <c r="B187" s="365"/>
      <c r="C187" s="151" t="str">
        <f t="shared" si="5"/>
        <v>Total Déchets</v>
      </c>
      <c r="D187" s="115"/>
      <c r="E187" s="516" t="s">
        <v>632</v>
      </c>
      <c r="F187" s="182">
        <f>SUM(F182:F186)</f>
        <v>4</v>
      </c>
      <c r="G187" s="182">
        <f t="shared" ref="G187:L187" si="12">SUM(G182:G186)</f>
        <v>4</v>
      </c>
      <c r="H187" s="182">
        <f t="shared" si="12"/>
        <v>4</v>
      </c>
      <c r="I187" s="182"/>
      <c r="J187" s="182">
        <f t="shared" si="12"/>
        <v>4</v>
      </c>
      <c r="K187" s="182"/>
      <c r="L187" s="517">
        <f t="shared" si="12"/>
        <v>4</v>
      </c>
      <c r="M187" s="115"/>
      <c r="O187" s="190"/>
    </row>
    <row r="188" spans="1:15" s="283" customFormat="1" outlineLevel="2">
      <c r="A188" s="363"/>
      <c r="B188" s="365"/>
      <c r="C188" s="151" t="str">
        <f t="shared" si="5"/>
        <v>Algues</v>
      </c>
      <c r="D188" s="115"/>
      <c r="E188" s="510" t="s">
        <v>629</v>
      </c>
      <c r="F188" s="210">
        <v>0</v>
      </c>
      <c r="G188" s="211">
        <v>0</v>
      </c>
      <c r="H188" s="211">
        <v>0</v>
      </c>
      <c r="I188" s="211"/>
      <c r="J188" s="211">
        <v>0</v>
      </c>
      <c r="K188" s="211"/>
      <c r="L188" s="511">
        <v>0</v>
      </c>
      <c r="M188" s="115"/>
      <c r="O188" s="190"/>
    </row>
    <row r="189" spans="1:15" s="283" customFormat="1" ht="15" outlineLevel="2" thickBot="1">
      <c r="A189" s="363"/>
      <c r="B189" s="365"/>
      <c r="C189" s="151" t="str">
        <f t="shared" si="5"/>
        <v xml:space="preserve">Total biomasse  </v>
      </c>
      <c r="D189" s="115"/>
      <c r="E189" s="518" t="s">
        <v>633</v>
      </c>
      <c r="F189" s="519">
        <f>SUM(F173,F181,F187)</f>
        <v>38.448189511328742</v>
      </c>
      <c r="G189" s="519">
        <f t="shared" ref="G189:L189" si="13">SUM(G173,G181,G187)</f>
        <v>39.660915990103845</v>
      </c>
      <c r="H189" s="519">
        <f t="shared" si="13"/>
        <v>39.440699588970148</v>
      </c>
      <c r="I189" s="519"/>
      <c r="J189" s="519">
        <f t="shared" si="13"/>
        <v>38.201165490442598</v>
      </c>
      <c r="K189" s="519"/>
      <c r="L189" s="520">
        <f t="shared" si="13"/>
        <v>36.961631391915049</v>
      </c>
      <c r="M189" s="115"/>
      <c r="O189" s="190"/>
    </row>
    <row r="190" spans="1:15" s="283" customFormat="1" outlineLevel="2">
      <c r="A190" s="363"/>
      <c r="B190" s="365"/>
      <c r="C190" s="151" t="str">
        <f t="shared" si="5"/>
        <v xml:space="preserve"> Périmètre métropole</v>
      </c>
      <c r="D190" s="115"/>
      <c r="E190" s="642" t="s">
        <v>966</v>
      </c>
      <c r="F190" s="642"/>
      <c r="G190" s="642"/>
      <c r="H190" s="642"/>
      <c r="I190" s="642"/>
      <c r="J190" s="642"/>
      <c r="K190" s="642"/>
      <c r="L190" s="642"/>
      <c r="M190" s="115"/>
      <c r="O190" s="190"/>
    </row>
    <row r="191" spans="1:15" s="399" customFormat="1" outlineLevel="1">
      <c r="A191" s="363"/>
      <c r="B191" s="365"/>
      <c r="C191" s="151" t="str">
        <f t="shared" si="5"/>
        <v/>
      </c>
      <c r="D191" s="115"/>
      <c r="E191" s="405"/>
      <c r="F191" s="405"/>
      <c r="G191" s="405"/>
      <c r="H191" s="405"/>
      <c r="I191" s="405"/>
      <c r="J191" s="405"/>
      <c r="K191" s="405"/>
      <c r="L191" s="405"/>
      <c r="M191" s="115"/>
      <c r="O191" s="190"/>
    </row>
    <row r="192" spans="1:15" s="283" customFormat="1" ht="15" outlineLevel="1" thickBot="1">
      <c r="A192" s="363"/>
      <c r="B192" s="365"/>
      <c r="C192" s="151" t="str">
        <f t="shared" ref="C192:C255" si="14">IF(ISBLANK(E192),IF(ISBLANK(F192),"",F192),E192)</f>
        <v>Production de biogaz par ressource primaire</v>
      </c>
      <c r="D192" s="115"/>
      <c r="E192" s="627" t="s">
        <v>838</v>
      </c>
      <c r="F192" s="627"/>
      <c r="G192" s="627"/>
      <c r="H192" s="627"/>
      <c r="I192" s="627"/>
      <c r="J192" s="627"/>
      <c r="K192" s="627"/>
      <c r="L192" s="627"/>
      <c r="M192" s="115"/>
      <c r="O192" s="190"/>
    </row>
    <row r="193" spans="1:16" s="283" customFormat="1" outlineLevel="2">
      <c r="A193" s="363"/>
      <c r="B193" s="365"/>
      <c r="C193" s="151" t="str">
        <f t="shared" si="14"/>
        <v>Ressources finales (TWhEf)</v>
      </c>
      <c r="D193" s="115"/>
      <c r="E193" s="459" t="s">
        <v>634</v>
      </c>
      <c r="F193" s="494">
        <v>2019</v>
      </c>
      <c r="G193" s="494">
        <v>2025</v>
      </c>
      <c r="H193" s="494">
        <v>2030</v>
      </c>
      <c r="I193" s="494">
        <v>2035</v>
      </c>
      <c r="J193" s="494">
        <v>2040</v>
      </c>
      <c r="K193" s="494">
        <v>2045</v>
      </c>
      <c r="L193" s="495">
        <v>2050</v>
      </c>
      <c r="M193" s="115"/>
      <c r="O193" s="190"/>
    </row>
    <row r="194" spans="1:16" s="283" customFormat="1" outlineLevel="2">
      <c r="A194" s="363"/>
      <c r="B194" s="365"/>
      <c r="C194" s="151" t="str">
        <f t="shared" si="14"/>
        <v>Ressource primaire et connexes</v>
      </c>
      <c r="D194" s="115"/>
      <c r="E194" s="510" t="s">
        <v>614</v>
      </c>
      <c r="F194" s="210">
        <v>0.59252275862878079</v>
      </c>
      <c r="G194" s="211">
        <v>78.25617804888725</v>
      </c>
      <c r="H194" s="211">
        <v>77.710806687463233</v>
      </c>
      <c r="I194" s="211"/>
      <c r="J194" s="211">
        <v>77.356842997979683</v>
      </c>
      <c r="K194" s="211"/>
      <c r="L194" s="511">
        <v>77.002879308496134</v>
      </c>
      <c r="M194" s="115"/>
      <c r="O194" s="190"/>
    </row>
    <row r="195" spans="1:16" s="283" customFormat="1" outlineLevel="2">
      <c r="A195" s="363"/>
      <c r="B195" s="365"/>
      <c r="C195" s="151" t="str">
        <f t="shared" si="14"/>
        <v>Déchets de bois en fin de vie</v>
      </c>
      <c r="D195" s="115"/>
      <c r="E195" s="510" t="s">
        <v>615</v>
      </c>
      <c r="F195" s="210">
        <v>0</v>
      </c>
      <c r="G195" s="211">
        <v>11.057036574140655</v>
      </c>
      <c r="H195" s="211">
        <v>10.695734615530499</v>
      </c>
      <c r="I195" s="211"/>
      <c r="J195" s="211">
        <v>9.1786498008424218</v>
      </c>
      <c r="K195" s="211"/>
      <c r="L195" s="511">
        <v>7.661564986154346</v>
      </c>
      <c r="M195" s="115"/>
      <c r="O195" s="190"/>
      <c r="P195" s="379"/>
    </row>
    <row r="196" spans="1:16" s="283" customFormat="1" outlineLevel="2">
      <c r="A196" s="363"/>
      <c r="B196" s="365"/>
      <c r="C196" s="151" t="str">
        <f t="shared" si="14"/>
        <v>Dérivés de l'industrie du bois (boues de papeterie, liqueur noire, etc.)</v>
      </c>
      <c r="D196" s="115"/>
      <c r="E196" s="510" t="s">
        <v>616</v>
      </c>
      <c r="F196" s="210">
        <v>0</v>
      </c>
      <c r="G196" s="211">
        <v>16.685714285714283</v>
      </c>
      <c r="H196" s="211">
        <v>16.671428571428571</v>
      </c>
      <c r="I196" s="211"/>
      <c r="J196" s="211">
        <v>16.671428571428571</v>
      </c>
      <c r="K196" s="211"/>
      <c r="L196" s="511">
        <v>16.671428571428571</v>
      </c>
      <c r="M196" s="115"/>
      <c r="O196" s="190"/>
      <c r="P196" s="379"/>
    </row>
    <row r="197" spans="1:16" s="283" customFormat="1" outlineLevel="2">
      <c r="A197" s="363"/>
      <c r="B197" s="365"/>
      <c r="C197" s="151" t="str">
        <f t="shared" si="14"/>
        <v>Total Bois forêt - connexes - déchets</v>
      </c>
      <c r="D197" s="115"/>
      <c r="E197" s="516" t="s">
        <v>630</v>
      </c>
      <c r="F197" s="182">
        <f>SUM(F194:F196)</f>
        <v>0.59252275862878079</v>
      </c>
      <c r="G197" s="182">
        <f t="shared" ref="G197:L197" si="15">SUM(G194:G196)</f>
        <v>105.99892890874219</v>
      </c>
      <c r="H197" s="182">
        <f t="shared" si="15"/>
        <v>105.07796987442231</v>
      </c>
      <c r="I197" s="182">
        <f t="shared" si="15"/>
        <v>0</v>
      </c>
      <c r="J197" s="182">
        <f t="shared" si="15"/>
        <v>103.20692137025068</v>
      </c>
      <c r="K197" s="182">
        <f t="shared" si="15"/>
        <v>0</v>
      </c>
      <c r="L197" s="517">
        <f t="shared" si="15"/>
        <v>101.33587286607906</v>
      </c>
      <c r="M197" s="115"/>
      <c r="O197" s="190"/>
    </row>
    <row r="198" spans="1:16" s="283" customFormat="1" outlineLevel="2">
      <c r="A198" s="363"/>
      <c r="B198" s="365"/>
      <c r="C198" s="151" t="str">
        <f t="shared" si="14"/>
        <v>Bois hors forêt (haies et agroforesterie)</v>
      </c>
      <c r="D198" s="115"/>
      <c r="E198" s="510" t="s">
        <v>617</v>
      </c>
      <c r="F198" s="210">
        <v>0</v>
      </c>
      <c r="G198" s="211">
        <v>0</v>
      </c>
      <c r="H198" s="211">
        <v>0</v>
      </c>
      <c r="I198" s="211"/>
      <c r="J198" s="211">
        <v>0</v>
      </c>
      <c r="K198" s="211"/>
      <c r="L198" s="511">
        <v>0</v>
      </c>
      <c r="M198" s="115"/>
      <c r="O198" s="190"/>
    </row>
    <row r="199" spans="1:16" s="283" customFormat="1" outlineLevel="2">
      <c r="A199" s="363"/>
      <c r="B199" s="365"/>
      <c r="C199" s="151" t="str">
        <f t="shared" si="14"/>
        <v>Résidus de culture</v>
      </c>
      <c r="D199" s="115"/>
      <c r="E199" s="510" t="s">
        <v>618</v>
      </c>
      <c r="F199" s="210">
        <v>1.3752821722197914</v>
      </c>
      <c r="G199" s="211">
        <v>2.0032024881113601</v>
      </c>
      <c r="H199" s="211">
        <v>2.6093828551015537</v>
      </c>
      <c r="I199" s="211"/>
      <c r="J199" s="211">
        <v>3.826846472713437</v>
      </c>
      <c r="K199" s="211"/>
      <c r="L199" s="511">
        <v>5.0443100903253209</v>
      </c>
      <c r="M199" s="115"/>
      <c r="O199" s="190"/>
    </row>
    <row r="200" spans="1:16" s="283" customFormat="1" outlineLevel="2">
      <c r="A200" s="363"/>
      <c r="B200" s="365"/>
      <c r="C200" s="151" t="str">
        <f t="shared" si="14"/>
        <v>Herbe et cultures fourragères</v>
      </c>
      <c r="D200" s="115"/>
      <c r="E200" s="510" t="s">
        <v>619</v>
      </c>
      <c r="F200" s="210">
        <v>0</v>
      </c>
      <c r="G200" s="211">
        <v>0.5105196548908949</v>
      </c>
      <c r="H200" s="211">
        <v>1.0210393097817898</v>
      </c>
      <c r="I200" s="211"/>
      <c r="J200" s="211">
        <v>1.977556493035292</v>
      </c>
      <c r="K200" s="211"/>
      <c r="L200" s="511">
        <v>2.934073676288794</v>
      </c>
      <c r="M200" s="115"/>
      <c r="O200" s="190"/>
    </row>
    <row r="201" spans="1:16" s="283" customFormat="1" outlineLevel="2">
      <c r="A201" s="363"/>
      <c r="B201" s="365"/>
      <c r="C201" s="151" t="str">
        <f t="shared" si="14"/>
        <v>Cultures dédiées</v>
      </c>
      <c r="D201" s="115"/>
      <c r="E201" s="510" t="s">
        <v>620</v>
      </c>
      <c r="F201" s="210">
        <v>1.4353412296386978</v>
      </c>
      <c r="G201" s="211">
        <v>0</v>
      </c>
      <c r="H201" s="211">
        <v>0</v>
      </c>
      <c r="I201" s="211"/>
      <c r="J201" s="211">
        <v>0</v>
      </c>
      <c r="K201" s="211"/>
      <c r="L201" s="511">
        <v>0</v>
      </c>
      <c r="M201" s="115"/>
      <c r="O201" s="190"/>
    </row>
    <row r="202" spans="1:16" s="283" customFormat="1" outlineLevel="2">
      <c r="A202" s="363"/>
      <c r="B202" s="365"/>
      <c r="C202" s="151" t="str">
        <f t="shared" si="14"/>
        <v>Cultures intermédiaires</v>
      </c>
      <c r="D202" s="115"/>
      <c r="E202" s="510" t="s">
        <v>621</v>
      </c>
      <c r="F202" s="210">
        <v>0.89988683584457929</v>
      </c>
      <c r="G202" s="211">
        <v>2.3358590695655383</v>
      </c>
      <c r="H202" s="211">
        <v>3.7718313032864974</v>
      </c>
      <c r="I202" s="211"/>
      <c r="J202" s="211">
        <v>4.5501532997419298</v>
      </c>
      <c r="K202" s="211"/>
      <c r="L202" s="511">
        <v>5.3284752961973618</v>
      </c>
      <c r="M202" s="115"/>
      <c r="O202" s="190"/>
    </row>
    <row r="203" spans="1:16" s="283" customFormat="1" outlineLevel="2">
      <c r="A203" s="363"/>
      <c r="B203" s="365"/>
      <c r="C203" s="151" t="str">
        <f t="shared" si="14"/>
        <v>Cultures lignocellulosiques</v>
      </c>
      <c r="D203" s="115"/>
      <c r="E203" s="510" t="s">
        <v>622</v>
      </c>
      <c r="F203" s="210">
        <v>0</v>
      </c>
      <c r="G203" s="211">
        <v>0</v>
      </c>
      <c r="H203" s="211">
        <v>0</v>
      </c>
      <c r="I203" s="211"/>
      <c r="J203" s="211">
        <v>0</v>
      </c>
      <c r="K203" s="211"/>
      <c r="L203" s="511">
        <v>0</v>
      </c>
      <c r="M203" s="115"/>
      <c r="O203" s="190"/>
    </row>
    <row r="204" spans="1:16" s="283" customFormat="1" outlineLevel="2">
      <c r="A204" s="363"/>
      <c r="B204" s="365"/>
      <c r="C204" s="151" t="str">
        <f t="shared" si="14"/>
        <v>Effluents d'élevage</v>
      </c>
      <c r="D204" s="115"/>
      <c r="E204" s="510" t="s">
        <v>623</v>
      </c>
      <c r="F204" s="210">
        <v>2.0586019855611193</v>
      </c>
      <c r="G204" s="211">
        <v>2.7149145883660308</v>
      </c>
      <c r="H204" s="211">
        <v>3.3712271911709424</v>
      </c>
      <c r="I204" s="211"/>
      <c r="J204" s="211">
        <v>4.5390785666799971</v>
      </c>
      <c r="K204" s="211"/>
      <c r="L204" s="511">
        <v>5.7069299421890518</v>
      </c>
      <c r="M204" s="115"/>
      <c r="O204" s="190"/>
    </row>
    <row r="205" spans="1:16" s="283" customFormat="1" outlineLevel="2">
      <c r="A205" s="363"/>
      <c r="B205" s="365"/>
      <c r="C205" s="151" t="str">
        <f t="shared" si="14"/>
        <v>Total biomasse agricole</v>
      </c>
      <c r="D205" s="115"/>
      <c r="E205" s="516" t="s">
        <v>631</v>
      </c>
      <c r="F205" s="182">
        <f>SUM(F198:F204)</f>
        <v>5.7691122232641874</v>
      </c>
      <c r="G205" s="182">
        <f t="shared" ref="G205:L205" si="16">SUM(G198:G204)</f>
        <v>7.5644958009338241</v>
      </c>
      <c r="H205" s="182">
        <f t="shared" si="16"/>
        <v>10.773480659340784</v>
      </c>
      <c r="I205" s="182">
        <f t="shared" si="16"/>
        <v>0</v>
      </c>
      <c r="J205" s="182">
        <f t="shared" si="16"/>
        <v>14.893634832170655</v>
      </c>
      <c r="K205" s="182">
        <f t="shared" si="16"/>
        <v>0</v>
      </c>
      <c r="L205" s="517">
        <f t="shared" si="16"/>
        <v>19.013789005000529</v>
      </c>
      <c r="M205" s="115"/>
      <c r="O205" s="190"/>
    </row>
    <row r="206" spans="1:16" s="283" customFormat="1" outlineLevel="2">
      <c r="A206" s="363"/>
      <c r="B206" s="365"/>
      <c r="C206" s="151" t="str">
        <f t="shared" si="14"/>
        <v>STEP</v>
      </c>
      <c r="D206" s="115"/>
      <c r="E206" s="510" t="s">
        <v>624</v>
      </c>
      <c r="F206" s="210">
        <v>0.17899999999999999</v>
      </c>
      <c r="G206" s="211">
        <v>0.58344827586206893</v>
      </c>
      <c r="H206" s="211">
        <v>0.83275862068965523</v>
      </c>
      <c r="I206" s="211"/>
      <c r="J206" s="211">
        <v>1.3313793103448277</v>
      </c>
      <c r="K206" s="211"/>
      <c r="L206" s="511">
        <v>1.83</v>
      </c>
      <c r="M206" s="115"/>
      <c r="O206" s="190"/>
    </row>
    <row r="207" spans="1:16" s="283" customFormat="1" outlineLevel="2">
      <c r="A207" s="363"/>
      <c r="B207" s="365"/>
      <c r="C207" s="151" t="str">
        <f t="shared" si="14"/>
        <v>Décharges</v>
      </c>
      <c r="D207" s="115"/>
      <c r="E207" s="510" t="s">
        <v>625</v>
      </c>
      <c r="F207" s="210">
        <v>0.11799999999999999</v>
      </c>
      <c r="G207" s="211">
        <v>0.48724137931034484</v>
      </c>
      <c r="H207" s="211">
        <v>1.6768965517241379</v>
      </c>
      <c r="I207" s="211"/>
      <c r="J207" s="211">
        <v>1.6768965517241379</v>
      </c>
      <c r="K207" s="211"/>
      <c r="L207" s="511">
        <v>2.4700000000000002</v>
      </c>
      <c r="M207" s="115"/>
      <c r="O207" s="190"/>
    </row>
    <row r="208" spans="1:16" s="283" customFormat="1" outlineLevel="2">
      <c r="A208" s="363"/>
      <c r="B208" s="365"/>
      <c r="C208" s="151" t="str">
        <f t="shared" si="14"/>
        <v>Déchets lipidiques</v>
      </c>
      <c r="D208" s="115"/>
      <c r="E208" s="510" t="s">
        <v>626</v>
      </c>
      <c r="F208" s="210">
        <v>0</v>
      </c>
      <c r="G208" s="211">
        <v>0</v>
      </c>
      <c r="H208" s="211">
        <v>0</v>
      </c>
      <c r="I208" s="211"/>
      <c r="J208" s="211">
        <v>0</v>
      </c>
      <c r="K208" s="211"/>
      <c r="L208" s="511">
        <v>0</v>
      </c>
      <c r="M208" s="115"/>
      <c r="O208" s="190"/>
    </row>
    <row r="209" spans="1:15" s="283" customFormat="1" outlineLevel="2">
      <c r="A209" s="363"/>
      <c r="B209" s="365"/>
      <c r="C209" s="151" t="str">
        <f t="shared" si="14"/>
        <v>Déchets alimentaires</v>
      </c>
      <c r="D209" s="115"/>
      <c r="E209" s="510" t="s">
        <v>627</v>
      </c>
      <c r="F209" s="210">
        <v>0.26903363502394473</v>
      </c>
      <c r="G209" s="211">
        <v>0.28559527511067584</v>
      </c>
      <c r="H209" s="211">
        <v>0.27119055022135174</v>
      </c>
      <c r="I209" s="211"/>
      <c r="J209" s="211">
        <v>0.33717476972360316</v>
      </c>
      <c r="K209" s="211"/>
      <c r="L209" s="511">
        <v>0.40315898922585464</v>
      </c>
      <c r="M209" s="115"/>
      <c r="O209" s="190"/>
    </row>
    <row r="210" spans="1:15" s="283" customFormat="1" outlineLevel="2">
      <c r="A210" s="363"/>
      <c r="B210" s="365"/>
      <c r="C210" s="151" t="str">
        <f t="shared" si="14"/>
        <v>Autres déchets industriels</v>
      </c>
      <c r="D210" s="115"/>
      <c r="E210" s="510" t="s">
        <v>628</v>
      </c>
      <c r="F210" s="210">
        <v>0.247</v>
      </c>
      <c r="G210" s="211">
        <v>0.497</v>
      </c>
      <c r="H210" s="211">
        <v>1.584137931034483</v>
      </c>
      <c r="I210" s="211"/>
      <c r="J210" s="211">
        <v>2.7920689655172413</v>
      </c>
      <c r="K210" s="211"/>
      <c r="L210" s="511">
        <v>4</v>
      </c>
      <c r="M210" s="115"/>
      <c r="O210" s="190"/>
    </row>
    <row r="211" spans="1:15" s="283" customFormat="1" outlineLevel="2">
      <c r="A211" s="363"/>
      <c r="B211" s="365"/>
      <c r="C211" s="151" t="str">
        <f t="shared" si="14"/>
        <v>Total Déchets</v>
      </c>
      <c r="D211" s="115"/>
      <c r="E211" s="516" t="s">
        <v>632</v>
      </c>
      <c r="F211" s="182">
        <f>SUM(F206:F210)</f>
        <v>0.81303363502394477</v>
      </c>
      <c r="G211" s="182">
        <f t="shared" ref="G211:L211" si="17">SUM(G206:G210)</f>
        <v>1.8532849302830896</v>
      </c>
      <c r="H211" s="182">
        <f t="shared" si="17"/>
        <v>4.3649836536696274</v>
      </c>
      <c r="I211" s="182">
        <f t="shared" si="17"/>
        <v>0</v>
      </c>
      <c r="J211" s="182">
        <f t="shared" si="17"/>
        <v>6.1375195973098098</v>
      </c>
      <c r="K211" s="182">
        <f t="shared" si="17"/>
        <v>0</v>
      </c>
      <c r="L211" s="517">
        <f t="shared" si="17"/>
        <v>8.7031589892258552</v>
      </c>
      <c r="M211" s="115"/>
      <c r="O211" s="190"/>
    </row>
    <row r="212" spans="1:15" s="283" customFormat="1" outlineLevel="2">
      <c r="A212" s="363"/>
      <c r="B212" s="365"/>
      <c r="C212" s="151" t="str">
        <f t="shared" si="14"/>
        <v>Algues</v>
      </c>
      <c r="D212" s="115"/>
      <c r="E212" s="510" t="s">
        <v>629</v>
      </c>
      <c r="F212" s="210">
        <v>0</v>
      </c>
      <c r="G212" s="211">
        <v>0</v>
      </c>
      <c r="H212" s="211">
        <v>0</v>
      </c>
      <c r="I212" s="211"/>
      <c r="J212" s="211">
        <v>0</v>
      </c>
      <c r="K212" s="211"/>
      <c r="L212" s="511">
        <v>0</v>
      </c>
      <c r="M212" s="115"/>
      <c r="O212" s="190"/>
    </row>
    <row r="213" spans="1:15" s="283" customFormat="1" ht="15" outlineLevel="2" thickBot="1">
      <c r="A213" s="363"/>
      <c r="B213" s="365"/>
      <c r="C213" s="151" t="str">
        <f t="shared" si="14"/>
        <v xml:space="preserve">Total biomasse  </v>
      </c>
      <c r="D213" s="115"/>
      <c r="E213" s="518" t="s">
        <v>633</v>
      </c>
      <c r="F213" s="519">
        <f>SUM(F197,F205,F211)</f>
        <v>7.1746686169169127</v>
      </c>
      <c r="G213" s="519">
        <f t="shared" ref="G213:L213" si="18">SUM(G197,G205,G211)</f>
        <v>115.41670963995911</v>
      </c>
      <c r="H213" s="519">
        <f t="shared" si="18"/>
        <v>120.21643418743271</v>
      </c>
      <c r="I213" s="519">
        <f t="shared" si="18"/>
        <v>0</v>
      </c>
      <c r="J213" s="519">
        <f t="shared" si="18"/>
        <v>124.23807579973113</v>
      </c>
      <c r="K213" s="519">
        <f t="shared" si="18"/>
        <v>0</v>
      </c>
      <c r="L213" s="520">
        <f t="shared" si="18"/>
        <v>129.05282086030545</v>
      </c>
      <c r="M213" s="115"/>
      <c r="O213" s="190"/>
    </row>
    <row r="214" spans="1:15" s="283" customFormat="1" outlineLevel="2">
      <c r="A214" s="363"/>
      <c r="B214" s="365"/>
      <c r="C214" s="151" t="str">
        <f t="shared" si="14"/>
        <v xml:space="preserve"> Périmètre métropole</v>
      </c>
      <c r="D214" s="115"/>
      <c r="E214" s="642" t="s">
        <v>966</v>
      </c>
      <c r="F214" s="642"/>
      <c r="G214" s="642"/>
      <c r="H214" s="642"/>
      <c r="I214" s="642"/>
      <c r="J214" s="642"/>
      <c r="K214" s="642"/>
      <c r="L214" s="642"/>
      <c r="M214" s="115"/>
      <c r="O214" s="190"/>
    </row>
    <row r="215" spans="1:15" outlineLevel="1">
      <c r="A215" s="363"/>
      <c r="B215" s="365"/>
      <c r="C215" s="151" t="str">
        <f t="shared" si="14"/>
        <v/>
      </c>
      <c r="D215" s="115"/>
      <c r="E215" s="142"/>
      <c r="F215" s="142"/>
      <c r="G215" s="142"/>
      <c r="H215" s="142"/>
      <c r="I215" s="142"/>
      <c r="J215" s="142"/>
      <c r="K215" s="142"/>
      <c r="L215" s="142"/>
      <c r="M215" s="115"/>
      <c r="O215" s="380"/>
    </row>
    <row r="216" spans="1:15" s="399" customFormat="1" ht="46.2" customHeight="1" thickBot="1">
      <c r="A216" s="363"/>
      <c r="B216" s="365"/>
      <c r="C216" s="151" t="str">
        <f t="shared" si="14"/>
        <v>Capture et stockage du carbone</v>
      </c>
      <c r="D216" s="369"/>
      <c r="E216" s="370"/>
      <c r="F216" s="643" t="s">
        <v>286</v>
      </c>
      <c r="G216" s="643"/>
      <c r="H216" s="643"/>
      <c r="I216" s="643"/>
      <c r="J216" s="643"/>
      <c r="K216" s="643"/>
      <c r="L216" s="643"/>
      <c r="M216" s="643"/>
    </row>
    <row r="217" spans="1:15" s="399" customFormat="1" ht="15" thickTop="1">
      <c r="A217" s="363"/>
      <c r="B217" s="365"/>
      <c r="C217" s="151" t="str">
        <f t="shared" si="14"/>
        <v/>
      </c>
      <c r="D217" s="548"/>
      <c r="E217" s="548"/>
      <c r="F217" s="548"/>
    </row>
    <row r="218" spans="1:15" s="399" customFormat="1" outlineLevel="1">
      <c r="A218" s="363"/>
      <c r="B218" s="365"/>
      <c r="C218" s="151" t="str">
        <f t="shared" si="14"/>
        <v/>
      </c>
      <c r="D218" s="115"/>
      <c r="E218" s="115"/>
      <c r="F218" s="115"/>
      <c r="G218" s="115"/>
      <c r="H218" s="115"/>
      <c r="I218" s="115"/>
      <c r="J218" s="115"/>
      <c r="K218" s="115"/>
      <c r="L218" s="115"/>
      <c r="M218" s="115"/>
    </row>
    <row r="219" spans="1:15" s="399" customFormat="1" ht="19.2" outlineLevel="1">
      <c r="A219" s="363"/>
      <c r="B219" s="365"/>
      <c r="C219" s="151" t="str">
        <f t="shared" si="14"/>
        <v xml:space="preserve">Commentaire
IGCE = 
Diffus = </v>
      </c>
      <c r="D219" s="115"/>
      <c r="E219" s="611" t="s">
        <v>140</v>
      </c>
      <c r="F219" s="612"/>
      <c r="G219" s="612"/>
      <c r="H219" s="612"/>
      <c r="I219" s="612"/>
      <c r="J219" s="612"/>
      <c r="K219" s="612"/>
      <c r="L219" s="612"/>
      <c r="M219" s="115"/>
    </row>
    <row r="220" spans="1:15" s="399" customFormat="1" ht="82.2" customHeight="1" outlineLevel="1">
      <c r="A220" s="363"/>
      <c r="B220" s="365"/>
      <c r="C220" s="151" t="str">
        <f t="shared" si="14"/>
        <v>Parmi les quantités de CO2 captées, les quantités stockées sont distinguées de celles qui sont utilisées. Les premières viendront alimenter le puits technologique, les deuxièmes servent de matière première aux carburants de synthèse (les puits comptabilisés dans l’industrie se retrouvent donc en émissions dans les secteurs utilisateurs). Aussi, les émissions biogéniques et le captage par Direct Air Capture sont calculées de manière à estimer les émissions négatives générées (BECCS et DAC).</v>
      </c>
      <c r="D220" s="115"/>
      <c r="E220" s="613" t="s">
        <v>1063</v>
      </c>
      <c r="F220" s="614"/>
      <c r="G220" s="614"/>
      <c r="H220" s="614"/>
      <c r="I220" s="614"/>
      <c r="J220" s="614"/>
      <c r="K220" s="614"/>
      <c r="L220" s="614"/>
      <c r="M220" s="115"/>
    </row>
    <row r="221" spans="1:15" s="399" customFormat="1" ht="15" outlineLevel="1" thickBot="1">
      <c r="A221" s="363"/>
      <c r="B221" s="365"/>
      <c r="C221" s="151" t="str">
        <f t="shared" si="14"/>
        <v>Capture et stockage par filière de production d'énergie et pour le Direct Air Capture (MtCO2), part stockée et part utilisée (%)</v>
      </c>
      <c r="D221" s="115"/>
      <c r="E221" s="627" t="s">
        <v>1062</v>
      </c>
      <c r="F221" s="627"/>
      <c r="G221" s="627"/>
      <c r="H221" s="627"/>
      <c r="I221" s="627"/>
      <c r="J221" s="627"/>
      <c r="K221" s="627"/>
      <c r="L221" s="627"/>
      <c r="M221" s="115"/>
    </row>
    <row r="222" spans="1:15" s="399" customFormat="1" outlineLevel="2">
      <c r="A222" s="363"/>
      <c r="B222" s="365"/>
      <c r="C222" s="151">
        <f t="shared" si="14"/>
        <v>2021</v>
      </c>
      <c r="D222" s="115"/>
      <c r="E222" s="322"/>
      <c r="F222" s="323">
        <v>2021</v>
      </c>
      <c r="G222" s="323">
        <v>2025</v>
      </c>
      <c r="H222" s="323">
        <v>2030</v>
      </c>
      <c r="I222" s="323">
        <v>2035</v>
      </c>
      <c r="J222" s="323">
        <v>2040</v>
      </c>
      <c r="K222" s="323">
        <v>2045</v>
      </c>
      <c r="L222" s="324">
        <v>2050</v>
      </c>
      <c r="M222" s="115"/>
      <c r="O222" s="189"/>
    </row>
    <row r="223" spans="1:15" s="399" customFormat="1" outlineLevel="2">
      <c r="A223" s="363"/>
      <c r="B223" s="365"/>
      <c r="C223" s="151" t="str">
        <f t="shared" si="14"/>
        <v>Production d'électricité (MtCO2)</v>
      </c>
      <c r="D223" s="115"/>
      <c r="E223" s="325" t="s">
        <v>1058</v>
      </c>
      <c r="F223" s="182">
        <v>0</v>
      </c>
      <c r="G223" s="183">
        <v>0</v>
      </c>
      <c r="H223" s="183">
        <v>0</v>
      </c>
      <c r="I223" s="183">
        <v>0</v>
      </c>
      <c r="J223" s="183">
        <v>0</v>
      </c>
      <c r="K223" s="183">
        <v>0</v>
      </c>
      <c r="L223" s="553">
        <v>0</v>
      </c>
      <c r="M223" s="115"/>
      <c r="O223" s="190"/>
    </row>
    <row r="224" spans="1:15" s="399" customFormat="1" outlineLevel="2">
      <c r="A224" s="363"/>
      <c r="B224" s="365"/>
      <c r="C224" s="151"/>
      <c r="D224" s="115"/>
      <c r="E224" s="330" t="s">
        <v>1055</v>
      </c>
      <c r="F224" s="177"/>
      <c r="G224" s="174"/>
      <c r="H224" s="174"/>
      <c r="I224" s="174"/>
      <c r="J224" s="174"/>
      <c r="K224" s="174"/>
      <c r="L224" s="331"/>
      <c r="M224" s="115"/>
      <c r="O224" s="190"/>
    </row>
    <row r="225" spans="1:22" s="399" customFormat="1" outlineLevel="2">
      <c r="A225" s="363"/>
      <c r="B225" s="365"/>
      <c r="C225" s="151"/>
      <c r="D225" s="115"/>
      <c r="E225" s="330" t="s">
        <v>1056</v>
      </c>
      <c r="F225" s="177"/>
      <c r="G225" s="174"/>
      <c r="H225" s="174"/>
      <c r="I225" s="174"/>
      <c r="J225" s="174"/>
      <c r="K225" s="174"/>
      <c r="L225" s="331"/>
      <c r="M225" s="115"/>
      <c r="O225" s="190"/>
    </row>
    <row r="226" spans="1:22" s="399" customFormat="1" outlineLevel="2">
      <c r="A226" s="363"/>
      <c r="B226" s="365"/>
      <c r="C226" s="151"/>
      <c r="D226" s="115"/>
      <c r="E226" s="330" t="s">
        <v>1057</v>
      </c>
      <c r="F226" s="177"/>
      <c r="G226" s="174"/>
      <c r="H226" s="174"/>
      <c r="I226" s="174"/>
      <c r="J226" s="174"/>
      <c r="K226" s="174"/>
      <c r="L226" s="331"/>
      <c r="M226" s="115"/>
      <c r="O226" s="190"/>
    </row>
    <row r="227" spans="1:22" s="399" customFormat="1" outlineLevel="2">
      <c r="A227" s="363"/>
      <c r="B227" s="365"/>
      <c r="C227" s="151"/>
      <c r="D227" s="115"/>
      <c r="E227" s="325" t="s">
        <v>1059</v>
      </c>
      <c r="F227" s="182">
        <v>0</v>
      </c>
      <c r="G227" s="183">
        <v>0</v>
      </c>
      <c r="H227" s="183">
        <v>0</v>
      </c>
      <c r="I227" s="183">
        <v>0</v>
      </c>
      <c r="J227" s="183">
        <v>0</v>
      </c>
      <c r="K227" s="183">
        <v>0</v>
      </c>
      <c r="L227" s="553">
        <v>0</v>
      </c>
      <c r="M227" s="115"/>
      <c r="O227" s="190"/>
    </row>
    <row r="228" spans="1:22" s="399" customFormat="1" outlineLevel="2">
      <c r="A228" s="363"/>
      <c r="B228" s="365"/>
      <c r="C228" s="151"/>
      <c r="D228" s="115"/>
      <c r="E228" s="330" t="s">
        <v>1055</v>
      </c>
      <c r="F228" s="177"/>
      <c r="G228" s="174"/>
      <c r="H228" s="174"/>
      <c r="I228" s="174"/>
      <c r="J228" s="174"/>
      <c r="K228" s="174"/>
      <c r="L228" s="331"/>
      <c r="M228" s="115"/>
      <c r="O228" s="190"/>
    </row>
    <row r="229" spans="1:22" s="399" customFormat="1" outlineLevel="2">
      <c r="A229" s="363"/>
      <c r="B229" s="365"/>
      <c r="C229" s="151"/>
      <c r="D229" s="115"/>
      <c r="E229" s="330" t="s">
        <v>1056</v>
      </c>
      <c r="F229" s="177"/>
      <c r="G229" s="174"/>
      <c r="H229" s="174"/>
      <c r="I229" s="174"/>
      <c r="J229" s="174"/>
      <c r="K229" s="174"/>
      <c r="L229" s="331"/>
      <c r="M229" s="115"/>
      <c r="O229" s="190"/>
    </row>
    <row r="230" spans="1:22" s="399" customFormat="1" outlineLevel="2">
      <c r="A230" s="363"/>
      <c r="B230" s="365"/>
      <c r="C230" s="151"/>
      <c r="D230" s="115"/>
      <c r="E230" s="330" t="s">
        <v>1057</v>
      </c>
      <c r="F230" s="177"/>
      <c r="G230" s="174"/>
      <c r="H230" s="174"/>
      <c r="I230" s="174"/>
      <c r="J230" s="174"/>
      <c r="K230" s="174"/>
      <c r="L230" s="331"/>
      <c r="M230" s="115"/>
      <c r="O230" s="190"/>
    </row>
    <row r="231" spans="1:22" s="399" customFormat="1" outlineLevel="2">
      <c r="A231" s="363"/>
      <c r="B231" s="365"/>
      <c r="C231" s="151"/>
      <c r="D231" s="115"/>
      <c r="E231" s="325" t="s">
        <v>1060</v>
      </c>
      <c r="F231" s="182">
        <v>0</v>
      </c>
      <c r="G231" s="183">
        <v>0</v>
      </c>
      <c r="H231" s="183">
        <v>0</v>
      </c>
      <c r="I231" s="183">
        <v>9.9999999999999992E-2</v>
      </c>
      <c r="J231" s="183">
        <v>0.3</v>
      </c>
      <c r="K231" s="183">
        <v>0.3</v>
      </c>
      <c r="L231" s="553">
        <v>0.39998999999999996</v>
      </c>
      <c r="M231" s="115"/>
      <c r="O231" s="190"/>
    </row>
    <row r="232" spans="1:22" s="399" customFormat="1" outlineLevel="2">
      <c r="A232" s="363"/>
      <c r="B232" s="365"/>
      <c r="C232" s="151"/>
      <c r="D232" s="115"/>
      <c r="E232" s="330" t="s">
        <v>1055</v>
      </c>
      <c r="F232" s="177"/>
      <c r="G232" s="174">
        <v>0</v>
      </c>
      <c r="H232" s="174">
        <v>0</v>
      </c>
      <c r="I232" s="174">
        <v>0</v>
      </c>
      <c r="J232" s="174">
        <v>0</v>
      </c>
      <c r="K232" s="174">
        <v>0</v>
      </c>
      <c r="L232" s="331">
        <v>0</v>
      </c>
      <c r="M232" s="115"/>
      <c r="O232" s="190"/>
    </row>
    <row r="233" spans="1:22" s="399" customFormat="1" outlineLevel="2">
      <c r="A233" s="363"/>
      <c r="B233" s="365"/>
      <c r="C233" s="151"/>
      <c r="D233" s="115"/>
      <c r="E233" s="330" t="s">
        <v>1056</v>
      </c>
      <c r="F233" s="177"/>
      <c r="G233" s="174">
        <v>0.8</v>
      </c>
      <c r="H233" s="174">
        <v>0.8</v>
      </c>
      <c r="I233" s="174">
        <v>0.75</v>
      </c>
      <c r="J233" s="174">
        <v>0.7</v>
      </c>
      <c r="K233" s="174">
        <v>0.65</v>
      </c>
      <c r="L233" s="331">
        <v>0.6</v>
      </c>
      <c r="M233" s="115"/>
      <c r="O233" s="190"/>
    </row>
    <row r="234" spans="1:22" s="399" customFormat="1" outlineLevel="2">
      <c r="A234" s="363"/>
      <c r="B234" s="365"/>
      <c r="C234" s="151"/>
      <c r="D234" s="115"/>
      <c r="E234" s="330" t="s">
        <v>1057</v>
      </c>
      <c r="F234" s="177"/>
      <c r="G234" s="174">
        <v>0.19999999999999996</v>
      </c>
      <c r="H234" s="174">
        <v>0.19999999999999996</v>
      </c>
      <c r="I234" s="174">
        <v>0.25</v>
      </c>
      <c r="J234" s="174">
        <v>0.30000000000000004</v>
      </c>
      <c r="K234" s="174">
        <v>0.35</v>
      </c>
      <c r="L234" s="331">
        <v>0.4</v>
      </c>
      <c r="M234" s="115"/>
      <c r="O234" s="190"/>
    </row>
    <row r="235" spans="1:22" s="399" customFormat="1" outlineLevel="2">
      <c r="A235" s="363"/>
      <c r="B235" s="365"/>
      <c r="C235" s="151"/>
      <c r="D235" s="115"/>
      <c r="E235" s="325" t="s">
        <v>1061</v>
      </c>
      <c r="F235" s="182">
        <v>0</v>
      </c>
      <c r="G235" s="183">
        <v>0</v>
      </c>
      <c r="H235" s="183">
        <v>0</v>
      </c>
      <c r="I235" s="183">
        <v>0</v>
      </c>
      <c r="J235" s="183">
        <v>0</v>
      </c>
      <c r="K235" s="183">
        <v>0</v>
      </c>
      <c r="L235" s="553">
        <v>0</v>
      </c>
      <c r="M235" s="115"/>
      <c r="O235" s="190"/>
    </row>
    <row r="236" spans="1:22" s="399" customFormat="1" outlineLevel="2">
      <c r="A236" s="363"/>
      <c r="B236" s="365"/>
      <c r="C236" s="151"/>
      <c r="D236" s="115"/>
      <c r="E236" s="330" t="s">
        <v>1056</v>
      </c>
      <c r="F236" s="177"/>
      <c r="G236" s="174"/>
      <c r="H236" s="174"/>
      <c r="I236" s="174"/>
      <c r="J236" s="174"/>
      <c r="K236" s="174"/>
      <c r="L236" s="331"/>
      <c r="M236" s="115"/>
      <c r="O236" s="190"/>
    </row>
    <row r="237" spans="1:22" s="399" customFormat="1" ht="15" outlineLevel="2" thickBot="1">
      <c r="A237" s="363"/>
      <c r="B237" s="365"/>
      <c r="C237" s="151"/>
      <c r="D237" s="115"/>
      <c r="E237" s="332" t="s">
        <v>1057</v>
      </c>
      <c r="F237" s="333"/>
      <c r="G237" s="334"/>
      <c r="H237" s="334"/>
      <c r="I237" s="334"/>
      <c r="J237" s="334"/>
      <c r="K237" s="334"/>
      <c r="L237" s="335"/>
      <c r="M237" s="115"/>
      <c r="O237" s="190"/>
    </row>
    <row r="238" spans="1:22" s="399" customFormat="1" outlineLevel="2">
      <c r="A238" s="363"/>
      <c r="B238" s="365"/>
      <c r="C238" s="151"/>
      <c r="D238" s="115"/>
      <c r="E238" s="610"/>
      <c r="F238" s="610"/>
      <c r="G238" s="610"/>
      <c r="H238" s="610"/>
      <c r="I238" s="610"/>
      <c r="J238" s="610"/>
      <c r="K238" s="610"/>
      <c r="L238" s="610"/>
      <c r="M238" s="115"/>
      <c r="O238" s="190"/>
    </row>
    <row r="239" spans="1:22" s="399" customFormat="1" outlineLevel="1">
      <c r="A239" s="363"/>
      <c r="B239" s="365"/>
      <c r="C239" s="151" t="str">
        <f t="shared" si="14"/>
        <v/>
      </c>
      <c r="D239" s="115"/>
      <c r="E239" s="610"/>
      <c r="F239" s="610"/>
      <c r="G239" s="610"/>
      <c r="H239" s="610"/>
      <c r="I239" s="610"/>
      <c r="J239" s="610"/>
      <c r="K239" s="610"/>
      <c r="L239" s="610"/>
      <c r="M239" s="115"/>
      <c r="O239" s="190"/>
      <c r="P239" s="190"/>
      <c r="Q239" s="190"/>
      <c r="R239" s="190"/>
      <c r="S239" s="190"/>
      <c r="T239" s="190"/>
      <c r="U239" s="190"/>
      <c r="V239" s="190"/>
    </row>
    <row r="240" spans="1:22" s="399" customFormat="1" ht="15" outlineLevel="1" thickBot="1">
      <c r="A240" s="363"/>
      <c r="B240" s="365"/>
      <c r="C240" s="151" t="str">
        <f t="shared" si="14"/>
        <v>Captage et valorisation du carbone dans les filières de production d'énergie et par le DAC au total (MtCO2)</v>
      </c>
      <c r="D240" s="115"/>
      <c r="E240" s="618" t="s">
        <v>1066</v>
      </c>
      <c r="F240" s="618"/>
      <c r="G240" s="618"/>
      <c r="H240" s="618"/>
      <c r="I240" s="618"/>
      <c r="J240" s="618"/>
      <c r="K240" s="618"/>
      <c r="L240" s="618"/>
      <c r="M240" s="115"/>
    </row>
    <row r="241" spans="1:22" s="399" customFormat="1" outlineLevel="2">
      <c r="A241" s="363"/>
      <c r="B241" s="365"/>
      <c r="C241" s="151" t="str">
        <f t="shared" si="14"/>
        <v>MtCO2e (CCUS inclus)</v>
      </c>
      <c r="D241" s="115"/>
      <c r="E241" s="322" t="s">
        <v>1054</v>
      </c>
      <c r="F241" s="323">
        <v>2019</v>
      </c>
      <c r="G241" s="323">
        <v>2025</v>
      </c>
      <c r="H241" s="323">
        <v>2030</v>
      </c>
      <c r="I241" s="323">
        <v>2035</v>
      </c>
      <c r="J241" s="323">
        <v>2040</v>
      </c>
      <c r="K241" s="323">
        <v>2045</v>
      </c>
      <c r="L241" s="324">
        <v>2050</v>
      </c>
      <c r="M241" s="115"/>
    </row>
    <row r="242" spans="1:22" s="399" customFormat="1" outlineLevel="2">
      <c r="A242" s="363"/>
      <c r="B242" s="365"/>
      <c r="C242" s="151" t="str">
        <f t="shared" si="14"/>
        <v>Total CO2 capté</v>
      </c>
      <c r="D242" s="115"/>
      <c r="E242" s="570" t="s">
        <v>295</v>
      </c>
      <c r="F242" s="571">
        <f>SUM(F223,F227,F231,F235)</f>
        <v>0</v>
      </c>
      <c r="G242" s="572">
        <f t="shared" ref="G242:L242" si="19">SUM(G223,G227,G231,G235)</f>
        <v>0</v>
      </c>
      <c r="H242" s="572">
        <f t="shared" si="19"/>
        <v>0</v>
      </c>
      <c r="I242" s="572">
        <f t="shared" si="19"/>
        <v>9.9999999999999992E-2</v>
      </c>
      <c r="J242" s="572">
        <f t="shared" si="19"/>
        <v>0.3</v>
      </c>
      <c r="K242" s="572">
        <f t="shared" si="19"/>
        <v>0.3</v>
      </c>
      <c r="L242" s="573">
        <f t="shared" si="19"/>
        <v>0.39998999999999996</v>
      </c>
      <c r="M242" s="115"/>
    </row>
    <row r="243" spans="1:22" s="399" customFormat="1" outlineLevel="2">
      <c r="A243" s="363"/>
      <c r="B243" s="365"/>
      <c r="C243" s="151" t="str">
        <f t="shared" si="14"/>
        <v>Dont CCS fossile</v>
      </c>
      <c r="D243" s="115"/>
      <c r="E243" s="558" t="s">
        <v>296</v>
      </c>
      <c r="F243" s="574">
        <f>F223*(1-F224)*F225+F227*(1-F228)*F229+F231*(1-F232)*F233</f>
        <v>0</v>
      </c>
      <c r="G243" s="575">
        <f t="shared" ref="G243:L243" si="20">G223*(1-G224)*G225+G227*(1-G228)*G229+G231*(1-G232)*G233</f>
        <v>0</v>
      </c>
      <c r="H243" s="575">
        <f t="shared" si="20"/>
        <v>0</v>
      </c>
      <c r="I243" s="575">
        <f t="shared" si="20"/>
        <v>7.4999999999999997E-2</v>
      </c>
      <c r="J243" s="575">
        <f t="shared" si="20"/>
        <v>0.21</v>
      </c>
      <c r="K243" s="575">
        <f t="shared" si="20"/>
        <v>0.19500000000000001</v>
      </c>
      <c r="L243" s="576">
        <f t="shared" si="20"/>
        <v>0.23999399999999996</v>
      </c>
      <c r="M243" s="115"/>
    </row>
    <row r="244" spans="1:22" s="399" customFormat="1" outlineLevel="2">
      <c r="A244" s="363"/>
      <c r="B244" s="365"/>
      <c r="C244" s="151" t="str">
        <f t="shared" si="14"/>
        <v>Dont CCU fossile</v>
      </c>
      <c r="D244" s="115"/>
      <c r="E244" s="558" t="s">
        <v>297</v>
      </c>
      <c r="F244" s="574">
        <f>F223*(1-F224)*F226+F227*(1-F228)*F230+F231*(1-F232)*F234</f>
        <v>0</v>
      </c>
      <c r="G244" s="575">
        <f t="shared" ref="G244:L244" si="21">G223*(1-G224)*G226+G227*(1-G228)*G230+G231*(1-G232)*G234</f>
        <v>0</v>
      </c>
      <c r="H244" s="575">
        <f t="shared" si="21"/>
        <v>0</v>
      </c>
      <c r="I244" s="575">
        <f t="shared" si="21"/>
        <v>2.4999999999999998E-2</v>
      </c>
      <c r="J244" s="575">
        <f t="shared" si="21"/>
        <v>9.0000000000000011E-2</v>
      </c>
      <c r="K244" s="575">
        <f t="shared" si="21"/>
        <v>0.105</v>
      </c>
      <c r="L244" s="576">
        <f t="shared" si="21"/>
        <v>0.159996</v>
      </c>
      <c r="M244" s="115"/>
    </row>
    <row r="245" spans="1:22" s="399" customFormat="1" outlineLevel="2">
      <c r="A245" s="363"/>
      <c r="B245" s="365"/>
      <c r="C245" s="151" t="str">
        <f t="shared" si="14"/>
        <v>Dont BECCS</v>
      </c>
      <c r="D245" s="115"/>
      <c r="E245" s="558" t="s">
        <v>298</v>
      </c>
      <c r="F245" s="574">
        <f>F223*(F224)*F225+F227*(F228)*F229+F231*(F232)*F233</f>
        <v>0</v>
      </c>
      <c r="G245" s="575">
        <f t="shared" ref="G245:L245" si="22">G223*(G224)*G225+G227*(G228)*G229+G231*(G232)*G233</f>
        <v>0</v>
      </c>
      <c r="H245" s="575">
        <f t="shared" si="22"/>
        <v>0</v>
      </c>
      <c r="I245" s="575">
        <f t="shared" si="22"/>
        <v>0</v>
      </c>
      <c r="J245" s="575">
        <f t="shared" si="22"/>
        <v>0</v>
      </c>
      <c r="K245" s="575">
        <f t="shared" si="22"/>
        <v>0</v>
      </c>
      <c r="L245" s="576">
        <f t="shared" si="22"/>
        <v>0</v>
      </c>
      <c r="M245" s="115"/>
    </row>
    <row r="246" spans="1:22" s="399" customFormat="1" outlineLevel="2">
      <c r="A246" s="363"/>
      <c r="B246" s="365"/>
      <c r="C246" s="151" t="str">
        <f t="shared" si="14"/>
        <v>Dont BECCU</v>
      </c>
      <c r="D246" s="115"/>
      <c r="E246" s="558" t="s">
        <v>299</v>
      </c>
      <c r="F246" s="574">
        <f>F223*(F224)*F226+F227*(F228)*F230+F231*(F232)*F234</f>
        <v>0</v>
      </c>
      <c r="G246" s="575">
        <f t="shared" ref="G246:L246" si="23">G223*(G224)*G226+G227*(G228)*G230+G231*(G232)*G234</f>
        <v>0</v>
      </c>
      <c r="H246" s="575">
        <f t="shared" si="23"/>
        <v>0</v>
      </c>
      <c r="I246" s="575">
        <f t="shared" si="23"/>
        <v>0</v>
      </c>
      <c r="J246" s="575">
        <f t="shared" si="23"/>
        <v>0</v>
      </c>
      <c r="K246" s="575">
        <f t="shared" si="23"/>
        <v>0</v>
      </c>
      <c r="L246" s="576">
        <f t="shared" si="23"/>
        <v>0</v>
      </c>
      <c r="M246" s="115"/>
    </row>
    <row r="247" spans="1:22" s="399" customFormat="1" outlineLevel="2">
      <c r="A247" s="363"/>
      <c r="B247" s="365"/>
      <c r="C247" s="151"/>
      <c r="D247" s="115"/>
      <c r="E247" s="558" t="s">
        <v>1064</v>
      </c>
      <c r="F247" s="574">
        <f>F235*F236</f>
        <v>0</v>
      </c>
      <c r="G247" s="575">
        <f t="shared" ref="G247:L247" si="24">G235*G236</f>
        <v>0</v>
      </c>
      <c r="H247" s="575">
        <f t="shared" si="24"/>
        <v>0</v>
      </c>
      <c r="I247" s="575">
        <f t="shared" si="24"/>
        <v>0</v>
      </c>
      <c r="J247" s="575">
        <f t="shared" si="24"/>
        <v>0</v>
      </c>
      <c r="K247" s="575">
        <f t="shared" si="24"/>
        <v>0</v>
      </c>
      <c r="L247" s="576">
        <f t="shared" si="24"/>
        <v>0</v>
      </c>
      <c r="M247" s="115"/>
    </row>
    <row r="248" spans="1:22" s="399" customFormat="1" ht="15" outlineLevel="2" thickBot="1">
      <c r="A248" s="363"/>
      <c r="B248" s="365"/>
      <c r="C248" s="151"/>
      <c r="D248" s="115"/>
      <c r="E248" s="356" t="s">
        <v>1065</v>
      </c>
      <c r="F248" s="577">
        <f>F235*F237</f>
        <v>0</v>
      </c>
      <c r="G248" s="578">
        <f t="shared" ref="G248:L248" si="25">G235*G237</f>
        <v>0</v>
      </c>
      <c r="H248" s="578">
        <f t="shared" si="25"/>
        <v>0</v>
      </c>
      <c r="I248" s="578">
        <f t="shared" si="25"/>
        <v>0</v>
      </c>
      <c r="J248" s="578">
        <f t="shared" si="25"/>
        <v>0</v>
      </c>
      <c r="K248" s="578">
        <f t="shared" si="25"/>
        <v>0</v>
      </c>
      <c r="L248" s="579">
        <f t="shared" si="25"/>
        <v>0</v>
      </c>
      <c r="M248" s="115"/>
    </row>
    <row r="249" spans="1:22" s="399" customFormat="1" outlineLevel="2">
      <c r="A249" s="363"/>
      <c r="B249" s="365"/>
      <c r="C249" s="151" t="str">
        <f t="shared" si="14"/>
        <v/>
      </c>
      <c r="D249" s="115"/>
      <c r="E249" s="549"/>
      <c r="F249" s="549"/>
      <c r="G249" s="549"/>
      <c r="H249" s="549"/>
      <c r="I249" s="549"/>
      <c r="J249" s="549"/>
      <c r="K249" s="549"/>
      <c r="L249" s="549"/>
      <c r="M249" s="115"/>
    </row>
    <row r="250" spans="1:22" s="399" customFormat="1" outlineLevel="1">
      <c r="A250" s="363"/>
      <c r="B250" s="365"/>
      <c r="C250" s="151" t="str">
        <f t="shared" si="14"/>
        <v/>
      </c>
      <c r="D250" s="115"/>
      <c r="E250" s="549"/>
      <c r="F250" s="549"/>
      <c r="G250" s="549"/>
      <c r="H250" s="549"/>
      <c r="I250" s="549"/>
      <c r="J250" s="549"/>
      <c r="K250" s="549"/>
      <c r="L250" s="549"/>
      <c r="M250" s="115"/>
      <c r="O250" s="190"/>
      <c r="P250" s="190"/>
      <c r="Q250" s="190"/>
      <c r="R250" s="190"/>
      <c r="S250" s="190"/>
      <c r="T250" s="190"/>
      <c r="U250" s="190"/>
      <c r="V250" s="190"/>
    </row>
    <row r="251" spans="1:22" s="399" customFormat="1" outlineLevel="1">
      <c r="A251" s="363"/>
      <c r="B251" s="365"/>
      <c r="C251" s="151"/>
      <c r="O251" s="190"/>
      <c r="P251" s="190"/>
      <c r="Q251" s="190"/>
      <c r="R251" s="190"/>
      <c r="S251" s="190"/>
      <c r="T251" s="190"/>
      <c r="U251" s="190"/>
      <c r="V251" s="190"/>
    </row>
    <row r="252" spans="1:22" s="399" customFormat="1" ht="28.8" thickBot="1">
      <c r="A252" s="373"/>
      <c r="B252" s="400"/>
      <c r="C252" s="151" t="str">
        <f t="shared" si="14"/>
        <v>Résultats</v>
      </c>
      <c r="D252" s="371"/>
      <c r="E252" s="635" t="s">
        <v>137</v>
      </c>
      <c r="F252" s="635"/>
      <c r="G252" s="635"/>
      <c r="H252" s="635"/>
      <c r="I252" s="635"/>
      <c r="J252" s="635"/>
      <c r="K252" s="635"/>
      <c r="L252" s="635"/>
      <c r="M252" s="371"/>
      <c r="O252" s="190"/>
      <c r="P252" s="190"/>
      <c r="Q252" s="190"/>
      <c r="R252" s="190"/>
      <c r="S252" s="190"/>
      <c r="T252" s="190"/>
      <c r="U252" s="190"/>
      <c r="V252" s="190"/>
    </row>
    <row r="253" spans="1:22" s="399" customFormat="1" ht="15" thickTop="1">
      <c r="A253" s="373"/>
      <c r="B253" s="400"/>
      <c r="C253" s="151" t="str">
        <f t="shared" si="14"/>
        <v/>
      </c>
      <c r="D253" s="3"/>
      <c r="E253" s="3"/>
      <c r="F253" s="3"/>
      <c r="G253" s="3"/>
      <c r="H253" s="3"/>
      <c r="I253" s="3"/>
      <c r="J253" s="3"/>
      <c r="K253" s="3"/>
      <c r="L253" s="3"/>
      <c r="M253" s="3"/>
      <c r="O253" s="190"/>
      <c r="P253" s="190"/>
      <c r="Q253" s="190"/>
      <c r="R253" s="190"/>
      <c r="S253" s="190"/>
      <c r="T253" s="190"/>
      <c r="U253" s="190"/>
      <c r="V253" s="190"/>
    </row>
    <row r="254" spans="1:22" s="399" customFormat="1" ht="15.6">
      <c r="A254" s="373"/>
      <c r="B254" s="400"/>
      <c r="C254" s="151" t="str">
        <f t="shared" si="14"/>
        <v/>
      </c>
      <c r="D254" s="112"/>
      <c r="E254" s="113"/>
      <c r="F254" s="113"/>
      <c r="G254" s="113"/>
      <c r="H254" s="113"/>
      <c r="I254" s="113"/>
      <c r="J254" s="113"/>
      <c r="K254" s="113"/>
      <c r="L254" s="113"/>
      <c r="M254" s="3"/>
      <c r="O254" s="190"/>
      <c r="P254" s="190"/>
      <c r="Q254" s="190"/>
      <c r="R254" s="190"/>
      <c r="S254" s="190"/>
      <c r="T254" s="190"/>
      <c r="U254" s="190"/>
      <c r="V254" s="190"/>
    </row>
    <row r="255" spans="1:22" s="399" customFormat="1" ht="28.8" thickBot="1">
      <c r="A255" s="373"/>
      <c r="B255" s="367"/>
      <c r="C255" s="151" t="str">
        <f t="shared" si="14"/>
        <v>Emissions de gaz à effet de serre</v>
      </c>
      <c r="D255" s="371"/>
      <c r="E255" s="372"/>
      <c r="F255" s="635" t="s">
        <v>142</v>
      </c>
      <c r="G255" s="635"/>
      <c r="H255" s="635"/>
      <c r="I255" s="635"/>
      <c r="J255" s="635"/>
      <c r="K255" s="635"/>
      <c r="L255" s="635"/>
      <c r="M255" s="635"/>
      <c r="O255" s="190"/>
      <c r="P255" s="190"/>
      <c r="Q255" s="190"/>
      <c r="R255" s="190"/>
      <c r="S255" s="190"/>
      <c r="T255" s="190"/>
      <c r="U255" s="190"/>
      <c r="V255" s="190"/>
    </row>
    <row r="256" spans="1:22" s="399" customFormat="1" ht="15" thickTop="1">
      <c r="A256" s="373"/>
      <c r="B256" s="367"/>
      <c r="C256" s="151" t="str">
        <f t="shared" ref="C256:C272" si="26">IF(ISBLANK(E256),IF(ISBLANK(F256),"",F256),E256)</f>
        <v/>
      </c>
      <c r="D256" s="548"/>
      <c r="E256" s="548"/>
      <c r="F256" s="548"/>
      <c r="O256" s="190"/>
      <c r="P256" s="190"/>
      <c r="Q256" s="190"/>
      <c r="R256" s="190"/>
      <c r="S256" s="190"/>
      <c r="T256" s="190"/>
      <c r="U256" s="190"/>
      <c r="V256" s="190"/>
    </row>
    <row r="257" spans="1:22" s="399" customFormat="1" outlineLevel="1">
      <c r="A257" s="373"/>
      <c r="B257" s="367"/>
      <c r="C257" s="151" t="str">
        <f t="shared" si="26"/>
        <v/>
      </c>
      <c r="D257" s="115"/>
      <c r="E257" s="115"/>
      <c r="F257" s="115"/>
      <c r="G257" s="115"/>
      <c r="H257" s="115"/>
      <c r="I257" s="115"/>
      <c r="J257" s="115"/>
      <c r="K257" s="115"/>
      <c r="L257" s="115"/>
      <c r="M257" s="115"/>
      <c r="O257" s="190"/>
      <c r="P257" s="190"/>
      <c r="Q257" s="190"/>
      <c r="R257" s="190"/>
      <c r="S257" s="190"/>
      <c r="T257" s="190"/>
      <c r="U257" s="190"/>
      <c r="V257" s="190"/>
    </row>
    <row r="258" spans="1:22" s="399" customFormat="1" outlineLevel="1">
      <c r="A258" s="373"/>
      <c r="B258" s="367"/>
      <c r="C258" s="151" t="str">
        <f t="shared" si="26"/>
        <v/>
      </c>
      <c r="D258" s="115"/>
      <c r="E258" s="115"/>
      <c r="F258" s="115"/>
      <c r="G258" s="115"/>
      <c r="H258" s="115"/>
      <c r="I258" s="115"/>
      <c r="J258" s="115"/>
      <c r="K258" s="115"/>
      <c r="L258" s="115"/>
      <c r="M258" s="115"/>
      <c r="O258" s="190"/>
      <c r="P258" s="190"/>
      <c r="Q258" s="190"/>
      <c r="R258" s="190"/>
      <c r="S258" s="190"/>
      <c r="T258" s="190"/>
      <c r="U258" s="190"/>
      <c r="V258" s="190"/>
    </row>
    <row r="259" spans="1:22" s="399" customFormat="1" ht="15" outlineLevel="1" thickBot="1">
      <c r="A259" s="373"/>
      <c r="B259" s="367"/>
      <c r="C259" s="151" t="str">
        <f t="shared" si="26"/>
        <v xml:space="preserve">Emissions de gaz à effet de serre </v>
      </c>
      <c r="D259" s="115"/>
      <c r="E259" s="615" t="s">
        <v>165</v>
      </c>
      <c r="F259" s="615"/>
      <c r="G259" s="615"/>
      <c r="H259" s="615"/>
      <c r="I259" s="615"/>
      <c r="J259" s="615"/>
      <c r="K259" s="615"/>
      <c r="L259" s="615"/>
      <c r="M259" s="115"/>
    </row>
    <row r="260" spans="1:22" s="399" customFormat="1" outlineLevel="2">
      <c r="A260" s="373"/>
      <c r="B260" s="367"/>
      <c r="C260" s="151" t="str">
        <f t="shared" si="26"/>
        <v>MtCO2e</v>
      </c>
      <c r="D260" s="115"/>
      <c r="E260" s="119" t="s">
        <v>302</v>
      </c>
      <c r="F260" s="228">
        <v>2021</v>
      </c>
      <c r="G260" s="228">
        <v>2025</v>
      </c>
      <c r="H260" s="228">
        <v>2030</v>
      </c>
      <c r="I260" s="228">
        <v>2035</v>
      </c>
      <c r="J260" s="228">
        <v>2040</v>
      </c>
      <c r="K260" s="228">
        <v>2045</v>
      </c>
      <c r="L260" s="229">
        <v>2050</v>
      </c>
      <c r="M260" s="115"/>
    </row>
    <row r="261" spans="1:22" s="399" customFormat="1" outlineLevel="2">
      <c r="A261" s="373"/>
      <c r="B261" s="367"/>
      <c r="C261" s="151" t="str">
        <f t="shared" si="26"/>
        <v>Production d'électricité</v>
      </c>
      <c r="D261" s="116"/>
      <c r="E261" s="122" t="s">
        <v>13</v>
      </c>
      <c r="F261" s="185">
        <f>GES!AG25+GES!AG26</f>
        <v>19.81582076118892</v>
      </c>
      <c r="G261" s="186">
        <f>GES!AJ25+GES!AJ26</f>
        <v>15.480476956997286</v>
      </c>
      <c r="H261" s="186">
        <f>GES!AL25+GES!AL26</f>
        <v>10.35024965745326</v>
      </c>
      <c r="I261" s="186">
        <f>GES!AN25+GES!AN26</f>
        <v>10.398333414356934</v>
      </c>
      <c r="J261" s="186">
        <f>GES!AP25+GES!AP26</f>
        <v>10.243845657616061</v>
      </c>
      <c r="K261" s="186">
        <f>GES!AQ25+GES!AQ26</f>
        <v>10.223044441783992</v>
      </c>
      <c r="L261" s="187">
        <f>GES!AR25+GES!AR26</f>
        <v>10.033517637369085</v>
      </c>
      <c r="M261" s="115"/>
    </row>
    <row r="262" spans="1:22" outlineLevel="2">
      <c r="A262" s="373"/>
      <c r="B262" s="367"/>
      <c r="C262" s="151" t="str">
        <f t="shared" si="26"/>
        <v>Chauffage urbain</v>
      </c>
      <c r="D262" s="117"/>
      <c r="E262" s="122" t="s">
        <v>14</v>
      </c>
      <c r="F262" s="185">
        <f>GES!AG28+GES!AG27</f>
        <v>5.1621153275252825</v>
      </c>
      <c r="G262" s="186">
        <f>GES!AJ28+GES!AJ27</f>
        <v>2.6058960531109623</v>
      </c>
      <c r="H262" s="186">
        <f>GES!AL28+GES!AL27</f>
        <v>2.3539607411473815</v>
      </c>
      <c r="I262" s="186">
        <f>GES!AN28+GES!AN27</f>
        <v>2.2720769745436038</v>
      </c>
      <c r="J262" s="186">
        <f>GES!AP28+GES!AP27</f>
        <v>2.2206970413637177</v>
      </c>
      <c r="K262" s="186">
        <f>GES!AQ28+GES!AQ27</f>
        <v>2.1618703031349571</v>
      </c>
      <c r="L262" s="187">
        <f>GES!AR28+GES!AR27</f>
        <v>2.1146545660104001</v>
      </c>
      <c r="M262" s="115"/>
    </row>
    <row r="263" spans="1:22" outlineLevel="2">
      <c r="A263" s="373"/>
      <c r="B263" s="367"/>
      <c r="C263" s="151"/>
      <c r="D263" s="117"/>
      <c r="E263" s="122" t="s">
        <v>15</v>
      </c>
      <c r="F263" s="185">
        <f>GES!AG29+GES!AG30</f>
        <v>6.5206359866749963</v>
      </c>
      <c r="G263" s="186">
        <f>GES!AJ29+GES!AJ30</f>
        <v>6.8625424153099601</v>
      </c>
      <c r="H263" s="186">
        <f>GES!AL29+GES!AL30</f>
        <v>6.8187892151196881</v>
      </c>
      <c r="I263" s="186">
        <f>GES!AN29+GES!AN30</f>
        <v>6.7032176319084789</v>
      </c>
      <c r="J263" s="186">
        <f>GES!AP29+GES!AP30</f>
        <v>6.4869078883928708</v>
      </c>
      <c r="K263" s="186">
        <f>GES!AQ29+GES!AQ30</f>
        <v>6.3147182000999216</v>
      </c>
      <c r="L263" s="187">
        <f>GES!AR29+GES!AR30</f>
        <v>5.9743652271517984</v>
      </c>
      <c r="M263" s="115"/>
    </row>
    <row r="264" spans="1:22" outlineLevel="2">
      <c r="A264" s="373"/>
      <c r="B264" s="367"/>
      <c r="C264" s="151"/>
      <c r="D264" s="117"/>
      <c r="E264" s="122" t="s">
        <v>25</v>
      </c>
      <c r="F264" s="185">
        <f>GES!AG31</f>
        <v>2.1689551211212486</v>
      </c>
      <c r="G264" s="186">
        <f>GES!AJ31</f>
        <v>2.1282272890245664</v>
      </c>
      <c r="H264" s="186">
        <f>GES!AL31</f>
        <v>1.336971767877589</v>
      </c>
      <c r="I264" s="186">
        <f>GES!AN31</f>
        <v>1.3504897819288968</v>
      </c>
      <c r="J264" s="186">
        <f>GES!AP31</f>
        <v>1.3633802744857872</v>
      </c>
      <c r="K264" s="186">
        <f>GES!AQ31</f>
        <v>1.3756401842189103</v>
      </c>
      <c r="L264" s="187">
        <f>GES!AR31</f>
        <v>1.3872667049096963</v>
      </c>
      <c r="M264" s="115"/>
    </row>
    <row r="265" spans="1:22" outlineLevel="2">
      <c r="A265" s="373"/>
      <c r="B265" s="367"/>
      <c r="C265" s="151"/>
      <c r="D265" s="117"/>
      <c r="E265" s="122" t="s">
        <v>16</v>
      </c>
      <c r="F265" s="185">
        <f>GES!AG32</f>
        <v>1.313199999999997E-3</v>
      </c>
      <c r="G265" s="186">
        <f>GES!AJ32</f>
        <v>1.3131999999999968E-3</v>
      </c>
      <c r="H265" s="186">
        <f>GES!AL32</f>
        <v>1.3131999999999968E-3</v>
      </c>
      <c r="I265" s="186">
        <f>GES!AN32</f>
        <v>1.3131999999999968E-3</v>
      </c>
      <c r="J265" s="186">
        <f>GES!AP32</f>
        <v>1.3131999999999968E-3</v>
      </c>
      <c r="K265" s="186">
        <f>GES!AQ32</f>
        <v>1.3131999999999968E-3</v>
      </c>
      <c r="L265" s="187">
        <f>GES!AR32</f>
        <v>1.3131999999999968E-3</v>
      </c>
      <c r="M265" s="115"/>
    </row>
    <row r="266" spans="1:22" outlineLevel="2">
      <c r="A266" s="373"/>
      <c r="B266" s="367"/>
      <c r="C266" s="151"/>
      <c r="D266" s="117"/>
      <c r="E266" s="122" t="s">
        <v>17</v>
      </c>
      <c r="F266" s="185">
        <f>GES!AG33</f>
        <v>0.10361612496670393</v>
      </c>
      <c r="G266" s="186">
        <f>GES!AJ33</f>
        <v>9.5694557563733185E-2</v>
      </c>
      <c r="H266" s="186">
        <f>GES!AL33</f>
        <v>9.1487779029755995E-2</v>
      </c>
      <c r="I266" s="186">
        <f>GES!AN33</f>
        <v>5.5279216379287142E-2</v>
      </c>
      <c r="J266" s="186">
        <f>GES!AP33</f>
        <v>1.8955986142538694E-2</v>
      </c>
      <c r="K266" s="186">
        <f>GES!AQ33</f>
        <v>1.5673057591926564E-2</v>
      </c>
      <c r="L266" s="187">
        <f>GES!AR33</f>
        <v>1.3960746603617647E-2</v>
      </c>
      <c r="M266" s="115"/>
    </row>
    <row r="267" spans="1:22" outlineLevel="2">
      <c r="A267" s="373"/>
      <c r="B267" s="367"/>
      <c r="C267" s="151"/>
      <c r="D267" s="117"/>
      <c r="E267" s="122" t="s">
        <v>18</v>
      </c>
      <c r="F267" s="185">
        <f>GES!AG34</f>
        <v>1.1959032486867982</v>
      </c>
      <c r="G267" s="186">
        <f>GES!AJ34</f>
        <v>1.1615861166776902</v>
      </c>
      <c r="H267" s="186">
        <f>GES!AL34</f>
        <v>1.1285882696303462</v>
      </c>
      <c r="I267" s="186">
        <f>GES!AN34</f>
        <v>1.1268576696006303</v>
      </c>
      <c r="J267" s="186">
        <f>GES!AP34</f>
        <v>1.0853027682515624</v>
      </c>
      <c r="K267" s="186">
        <f>GES!AQ34</f>
        <v>1.0770140364353415</v>
      </c>
      <c r="L267" s="187">
        <f>GES!AR34</f>
        <v>1.1368896833943176</v>
      </c>
      <c r="M267" s="115"/>
    </row>
    <row r="268" spans="1:22" ht="15" outlineLevel="2" thickBot="1">
      <c r="A268" s="373"/>
      <c r="B268" s="367"/>
      <c r="C268" s="151" t="str">
        <f t="shared" si="26"/>
        <v>Valorisation énergétique des déchets</v>
      </c>
      <c r="D268" s="117"/>
      <c r="E268" s="122" t="s">
        <v>19</v>
      </c>
      <c r="F268" s="185">
        <f>GES!AG36</f>
        <v>7.1473093499663181</v>
      </c>
      <c r="G268" s="186">
        <f>GES!AJ36</f>
        <v>7.4749860852935281</v>
      </c>
      <c r="H268" s="186">
        <f>GES!AL36</f>
        <v>8.0025544803775475</v>
      </c>
      <c r="I268" s="186">
        <f>GES!AN36</f>
        <v>8.0064787155684467</v>
      </c>
      <c r="J268" s="186">
        <f>GES!AP36</f>
        <v>8.0100759311601042</v>
      </c>
      <c r="K268" s="186">
        <f>GES!AQ36</f>
        <v>8.0135096369521399</v>
      </c>
      <c r="L268" s="187">
        <f>GES!AR36</f>
        <v>8.0164528133453121</v>
      </c>
      <c r="M268" s="115"/>
    </row>
    <row r="269" spans="1:22" outlineLevel="2">
      <c r="A269" s="373"/>
      <c r="B269" s="367"/>
      <c r="C269" s="151" t="str">
        <f t="shared" si="26"/>
        <v>Source SECTEN 2024, projections CITEPA - CCUS comptés en puits, périmètre Kyoto</v>
      </c>
      <c r="D269" s="115"/>
      <c r="E269" s="616" t="s">
        <v>963</v>
      </c>
      <c r="F269" s="616"/>
      <c r="G269" s="616"/>
      <c r="H269" s="616"/>
      <c r="I269" s="616"/>
      <c r="J269" s="616"/>
      <c r="K269" s="616"/>
      <c r="L269" s="616"/>
      <c r="M269" s="115"/>
    </row>
    <row r="270" spans="1:22" s="283" customFormat="1" outlineLevel="4">
      <c r="A270" s="373"/>
      <c r="B270" s="367"/>
      <c r="C270" s="151"/>
      <c r="D270" s="115"/>
      <c r="E270" s="288"/>
      <c r="F270" s="288"/>
      <c r="G270" s="288"/>
      <c r="H270" s="288"/>
      <c r="I270" s="288"/>
      <c r="J270" s="288"/>
      <c r="K270" s="288"/>
      <c r="L270" s="288"/>
      <c r="M270" s="115"/>
    </row>
    <row r="271" spans="1:22" s="283" customFormat="1" outlineLevel="4">
      <c r="A271" s="373"/>
      <c r="B271" s="367"/>
      <c r="C271" s="151"/>
      <c r="D271" s="115"/>
      <c r="E271" s="288"/>
      <c r="F271" s="288"/>
      <c r="G271" s="288"/>
      <c r="H271" s="288"/>
      <c r="I271" s="288"/>
      <c r="J271" s="288"/>
      <c r="K271" s="288"/>
      <c r="L271" s="288"/>
      <c r="M271" s="115"/>
    </row>
    <row r="272" spans="1:22" outlineLevel="1">
      <c r="A272" s="373"/>
      <c r="B272" s="367"/>
      <c r="C272" s="151" t="str">
        <f t="shared" si="26"/>
        <v/>
      </c>
      <c r="D272" s="115"/>
      <c r="E272" s="115"/>
      <c r="F272" s="115"/>
      <c r="G272" s="115"/>
      <c r="H272" s="115"/>
      <c r="I272" s="115"/>
      <c r="J272" s="115"/>
      <c r="K272" s="115"/>
      <c r="L272" s="115"/>
      <c r="M272" s="115"/>
    </row>
  </sheetData>
  <mergeCells count="66">
    <mergeCell ref="E60:L60"/>
    <mergeCell ref="E8:L8"/>
    <mergeCell ref="F11:M11"/>
    <mergeCell ref="F35:M35"/>
    <mergeCell ref="E14:L14"/>
    <mergeCell ref="E15:L15"/>
    <mergeCell ref="E17:L17"/>
    <mergeCell ref="E31:L31"/>
    <mergeCell ref="E38:L38"/>
    <mergeCell ref="E39:L39"/>
    <mergeCell ref="E42:L42"/>
    <mergeCell ref="E50:L50"/>
    <mergeCell ref="E52:L52"/>
    <mergeCell ref="O3:Q3"/>
    <mergeCell ref="R3:T3"/>
    <mergeCell ref="F4:G4"/>
    <mergeCell ref="H4:I4"/>
    <mergeCell ref="J4:K4"/>
    <mergeCell ref="L4:M4"/>
    <mergeCell ref="E1:M1"/>
    <mergeCell ref="E3:I3"/>
    <mergeCell ref="J3:M3"/>
    <mergeCell ref="F5:G5"/>
    <mergeCell ref="H5:I5"/>
    <mergeCell ref="J5:K5"/>
    <mergeCell ref="L5:M5"/>
    <mergeCell ref="E79:L79"/>
    <mergeCell ref="E84:L84"/>
    <mergeCell ref="E124:L124"/>
    <mergeCell ref="E142:L142"/>
    <mergeCell ref="E111:L111"/>
    <mergeCell ref="E112:L112"/>
    <mergeCell ref="F90:M90"/>
    <mergeCell ref="F64:M64"/>
    <mergeCell ref="E67:L67"/>
    <mergeCell ref="E68:L68"/>
    <mergeCell ref="E70:L70"/>
    <mergeCell ref="E78:L78"/>
    <mergeCell ref="E168:L168"/>
    <mergeCell ref="E192:L192"/>
    <mergeCell ref="E122:L122"/>
    <mergeCell ref="E123:L123"/>
    <mergeCell ref="E93:L93"/>
    <mergeCell ref="E166:L166"/>
    <mergeCell ref="E190:L190"/>
    <mergeCell ref="E94:L94"/>
    <mergeCell ref="E96:L96"/>
    <mergeCell ref="E106:L106"/>
    <mergeCell ref="E121:L121"/>
    <mergeCell ref="E144:L144"/>
    <mergeCell ref="F120:M120"/>
    <mergeCell ref="E118:L118"/>
    <mergeCell ref="E113:L113"/>
    <mergeCell ref="F108:M108"/>
    <mergeCell ref="E214:L214"/>
    <mergeCell ref="E259:L259"/>
    <mergeCell ref="E269:L269"/>
    <mergeCell ref="F255:M255"/>
    <mergeCell ref="E252:L252"/>
    <mergeCell ref="E219:L219"/>
    <mergeCell ref="F216:M216"/>
    <mergeCell ref="E220:L220"/>
    <mergeCell ref="E221:L221"/>
    <mergeCell ref="E239:L239"/>
    <mergeCell ref="E240:L240"/>
    <mergeCell ref="E238:L23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Spinner 1">
              <controlPr defaultSize="0" autoPict="0">
                <anchor moveWithCells="1" sizeWithCells="1">
                  <from>
                    <xdr:col>13</xdr:col>
                    <xdr:colOff>617220</xdr:colOff>
                    <xdr:row>3</xdr:row>
                    <xdr:rowOff>0</xdr:rowOff>
                  </from>
                  <to>
                    <xdr:col>13</xdr:col>
                    <xdr:colOff>861060</xdr:colOff>
                    <xdr:row>5</xdr:row>
                    <xdr:rowOff>0</xdr:rowOff>
                  </to>
                </anchor>
              </controlPr>
            </control>
          </mc:Choice>
        </mc:AlternateContent>
        <mc:AlternateContent xmlns:mc="http://schemas.openxmlformats.org/markup-compatibility/2006">
          <mc:Choice Requires="x14">
            <control shapeId="32770" r:id="rId5" name="Spinner 2">
              <controlPr defaultSize="0" autoPict="0">
                <anchor moveWithCells="1" sizeWithCells="1">
                  <from>
                    <xdr:col>3</xdr:col>
                    <xdr:colOff>236220</xdr:colOff>
                    <xdr:row>3</xdr:row>
                    <xdr:rowOff>0</xdr:rowOff>
                  </from>
                  <to>
                    <xdr:col>3</xdr:col>
                    <xdr:colOff>480060</xdr:colOff>
                    <xdr:row>4</xdr:row>
                    <xdr:rowOff>327660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162C7"/>
  </sheetPr>
  <dimension ref="A1:T288"/>
  <sheetViews>
    <sheetView showGridLines="0" zoomScale="85" zoomScaleNormal="85" workbookViewId="0">
      <pane ySplit="6" topLeftCell="A237" activePane="bottomLeft" state="frozen"/>
      <selection pane="bottomLeft" activeCell="H243" sqref="H243"/>
    </sheetView>
  </sheetViews>
  <sheetFormatPr baseColWidth="10" defaultRowHeight="14.4" outlineLevelRow="2"/>
  <cols>
    <col min="1" max="1" width="3.109375" customWidth="1"/>
    <col min="2" max="2" width="3.109375" style="114" customWidth="1"/>
    <col min="3" max="3" width="3.109375" customWidth="1"/>
    <col min="4" max="4" width="7.33203125" customWidth="1"/>
    <col min="5" max="5" width="32.6640625" bestFit="1" customWidth="1"/>
    <col min="8" max="8" width="11.5546875" customWidth="1"/>
    <col min="10" max="10" width="11.5546875" customWidth="1"/>
    <col min="13" max="13" width="10.88671875" customWidth="1"/>
    <col min="14" max="14" width="12.5546875" customWidth="1"/>
    <col min="15" max="15" width="13.5546875" customWidth="1"/>
    <col min="16" max="16" width="13" customWidth="1"/>
  </cols>
  <sheetData>
    <row r="1" spans="1:20" ht="25.95" customHeight="1" thickBot="1">
      <c r="D1" s="368"/>
      <c r="E1" s="619" t="s">
        <v>40</v>
      </c>
      <c r="F1" s="619"/>
      <c r="G1" s="619"/>
      <c r="H1" s="619"/>
      <c r="I1" s="619"/>
      <c r="J1" s="619"/>
      <c r="K1" s="619"/>
      <c r="L1" s="619"/>
      <c r="M1" s="619"/>
    </row>
    <row r="2" spans="1:20" ht="10.95" customHeight="1" thickTop="1">
      <c r="D2" s="2"/>
      <c r="E2" s="150"/>
      <c r="F2" s="150"/>
      <c r="G2" s="150"/>
      <c r="H2" s="150"/>
      <c r="I2" s="150"/>
      <c r="J2" s="150"/>
      <c r="K2" s="150"/>
      <c r="L2" s="150"/>
      <c r="M2" s="150"/>
    </row>
    <row r="3" spans="1:20" ht="28.95" customHeight="1">
      <c r="D3" s="2"/>
      <c r="E3" s="620" t="str">
        <f>HYPERLINK("#Transports!E"&amp;TEXT(MATCH(E8,C1:C1124,0),"#"),E8)</f>
        <v>Hypothèses</v>
      </c>
      <c r="F3" s="621"/>
      <c r="G3" s="621"/>
      <c r="H3" s="621"/>
      <c r="I3" s="621"/>
      <c r="J3" s="631" t="str">
        <f>HYPERLINK("#Transports!E"&amp;TEXT(MATCH(E233,C1:C1124,0),"#"),E233)</f>
        <v>Résultats</v>
      </c>
      <c r="K3" s="631"/>
      <c r="L3" s="631"/>
      <c r="M3" s="631"/>
      <c r="O3" s="623" t="s">
        <v>181</v>
      </c>
      <c r="P3" s="623"/>
      <c r="Q3" s="623"/>
      <c r="R3" s="628" t="s">
        <v>137</v>
      </c>
      <c r="S3" s="628"/>
      <c r="T3" s="628"/>
    </row>
    <row r="4" spans="1:20" ht="26.4" customHeight="1">
      <c r="D4" s="184"/>
      <c r="E4" s="357" t="str">
        <f>IF(Moteur!$D$14=3,HYPERLINK("#"&amp;$E$1&amp;"!E"&amp;TEXT(MATCH(Moteur!F17,$C1:$C1124,0),"#"),Moteur!F17),IF(Moteur!$D$14=2,HYPERLINK("#"&amp;$E$1&amp;"!E"&amp;TEXT(MATCH(Moteur!F18,$C1:$C1124,0),"#"),Moteur!F18),HYPERLINK("#"&amp;$E$1&amp;"!E"&amp;TEXT(MATCH(Moteur!F19,$C1:$C1124,0),"#"),Moteur!F19)))</f>
        <v>Parc</v>
      </c>
      <c r="F4" s="624" t="str">
        <f>IF(Moteur!$D$14=3,HYPERLINK("#"&amp;$E$1&amp;"!E"&amp;TEXT(MATCH(Moteur!G17,$C1:$C1124,0),"#"),Moteur!G17),IF(Moteur!$D$14=2,HYPERLINK("#"&amp;$E$1&amp;"!E"&amp;TEXT(MATCH(Moteur!G18,$C1:$C1124,0),"#"),Moteur!G18),HYPERLINK("#"&amp;$E$1&amp;"!E"&amp;TEXT(MATCH(Moteur!G19,$C1:$C1124,0),"#"),Moteur!G19)))</f>
        <v>Véhicules neufs</v>
      </c>
      <c r="G4" s="625"/>
      <c r="H4" s="624" t="str">
        <f>IF(Moteur!$D$14=3,HYPERLINK("#"&amp;$E$1&amp;"!E"&amp;TEXT(MATCH(Moteur!H17,$C1:$C1124,0),"#"),Moteur!H17),IF(Moteur!$D$14=2,HYPERLINK("#"&amp;$E$1&amp;"!E"&amp;TEXT(MATCH(Moteur!H18,$C1:$C1124,0),"#"),Moteur!H18),HYPERLINK("#"&amp;$E$1&amp;"!E"&amp;TEXT(MATCH(Moteur!H19,$C1:$C1124,0),"#"),Moteur!H19)))</f>
        <v>Parc roulant</v>
      </c>
      <c r="I4" s="625"/>
      <c r="J4" s="640" t="str">
        <f>HYPERLINK("#"&amp;$E$1&amp;"!E"&amp;TEXT(MATCH(F263,$C1:$C1124,0),"#"),F263)</f>
        <v>Emissions de gaz à effet de serre</v>
      </c>
      <c r="K4" s="633"/>
      <c r="L4" s="640" t="str">
        <f>HYPERLINK("#"&amp;$E$1&amp;"!E"&amp;TEXT(MATCH(F236,$C1:$C1124,0),"#"),F236)</f>
        <v>Consommations d'énergie</v>
      </c>
      <c r="M4" s="633"/>
      <c r="O4" s="359" t="str">
        <f>IF(Moteur!$D$6=3,HYPERLINK("#"&amp;Moteur!F5&amp;"!E1",Moteur!F5),IF(Moteur!$D$6=2,HYPERLINK("#"&amp;Moteur!F6&amp;"!E1",Moteur!F6),HYPERLINK("#"&amp;Moteur!F7&amp;"!E1",Moteur!F7)))</f>
        <v>Cadrage</v>
      </c>
      <c r="P4" s="359" t="str">
        <f>IF(Moteur!$D$6=3,HYPERLINK("#"&amp;Moteur!G5&amp;"!E1",Moteur!G5),IF(Moteur!$D$6=2,HYPERLINK("#"&amp;Moteur!G6&amp;"!E1",Moteur!G6),HYPERLINK("#"&amp;Moteur!G7&amp;"!E1",Moteur!G7)))</f>
        <v>Industrie</v>
      </c>
      <c r="Q4" s="360" t="str">
        <f>IF(Moteur!$D$6=3,HYPERLINK("#"&amp;Moteur!H5&amp;"!E1",Moteur!H5),IF(Moteur!$D$6=2,HYPERLINK("#"&amp;Moteur!H6&amp;"!E1",Moteur!H6),HYPERLINK("#"&amp;Moteur!H7&amp;"!E1",Moteur!H7)))</f>
        <v>Agriculture</v>
      </c>
      <c r="R4" s="362" t="str">
        <f>IF(Moteur!$D$6=3,HYPERLINK("#"&amp;Moteur!J5&amp;"!E1",Moteur!J5),IF(Moteur!$D$6=2,HYPERLINK("#"&amp;Moteur!J5&amp;"!E1",Moteur!J5),HYPERLINK("#"&amp;Moteur!J5&amp;"!E1",Moteur!J5)))</f>
        <v>Bilans</v>
      </c>
      <c r="S4" s="358" t="str">
        <f>IF(Moteur!$D$6=3,HYPERLINK("#"&amp;Moteur!K5&amp;"!E1",Moteur!K5),IF(Moteur!$D$6=2,HYPERLINK("#"&amp;Moteur!K5&amp;"!E1",Moteur!K5),HYPERLINK("#"&amp;Moteur!K5&amp;"!E1",Moteur!K5)))</f>
        <v>GES</v>
      </c>
      <c r="T4" s="478">
        <f>IF(Moteur!$D$6=3,HYPERLINK("#"&amp;Moteur!L5&amp;"!E1",Moteur!L5),IF(Moteur!$D$6=2,HYPERLINK("#"&amp;Moteur!L5&amp;"!E1",Moteur!L5),HYPERLINK("#"&amp;Moteur!L5&amp;"!E1",Moteur!L5)))</f>
        <v>0</v>
      </c>
    </row>
    <row r="5" spans="1:20" ht="26.4" customHeight="1">
      <c r="D5" s="184"/>
      <c r="E5" s="357" t="str">
        <f>IF(Moteur!$D$14=3,HYPERLINK("#"&amp;$E$1&amp;"!E"&amp;TEXT(MATCH(Moteur!F18,$C1:$C1124,0),"#"),Moteur!F18),IF(Moteur!$D$14=2,HYPERLINK("#"&amp;$E$1&amp;"!E"&amp;TEXT(MATCH(Moteur!F19,$C1:$C1124,0),"#"),Moteur!F19),HYPERLINK("#"&amp;$E$1&amp;"!E"&amp;TEXT(MATCH(Moteur!F20,$C1:$C1124,0),"#"),Moteur!F20)))</f>
        <v>Consommations</v>
      </c>
      <c r="F5" s="624" t="str">
        <f>IFERROR(IF(Moteur!$D$14=3,HYPERLINK("#"&amp;$E$1&amp;"!E"&amp;TEXT(MATCH(Moteur!G18,$C1:$C1124,0),"#"),Moteur!G18),IF(Moteur!$D$14=2,HYPERLINK("#"&amp;$E$1&amp;"!E"&amp;TEXT(MATCH(Moteur!G19,$C1:$C1124,0),"#"),Moteur!G19),HYPERLINK("#"&amp;$E$1&amp;"!E"&amp;TEXT(MATCH(Moteur!G20,$C1:$C1124,0),"#"),Moteur!G20))),"")</f>
        <v>Trafic</v>
      </c>
      <c r="G5" s="625"/>
      <c r="H5" s="624" t="str">
        <f>IFERROR(IF(Moteur!$D$14=3,HYPERLINK("#"&amp;$E$1&amp;"!E"&amp;TEXT(MATCH(Moteur!H18,$C1:$C1124,0),"#"),Moteur!H18),IF(Moteur!$D$14=2,HYPERLINK("#"&amp;$E$1&amp;"!E"&amp;TEXT(MATCH(Moteur!H19,$C1:$C1124,0),"#"),Moteur!H19),HYPERLINK("#"&amp;$E$1&amp;"!E"&amp;TEXT(MATCH(Moteur!H20,$C1:$C1124,0),"#"),Moteur!H20))),"")</f>
        <v>Aérien</v>
      </c>
      <c r="I5" s="625"/>
      <c r="J5" s="632"/>
      <c r="K5" s="633"/>
      <c r="L5" s="632"/>
      <c r="M5" s="633"/>
      <c r="O5" s="359" t="str">
        <f>IF(Moteur!$D$6=3,HYPERLINK("#"&amp;Moteur!F6&amp;"!E1",Moteur!F6),IF(Moteur!$D$6=2,HYPERLINK("#"&amp;Moteur!F7&amp;"!E1",Moteur!F7),""))</f>
        <v>Energie</v>
      </c>
      <c r="P5" s="359" t="str">
        <f>IF(Moteur!$D$6=3,HYPERLINK("#"&amp;Moteur!G6&amp;"!E1",Moteur!G6),IF(Moteur!$D$6=2,HYPERLINK("#"&amp;Moteur!G7&amp;"!E1",Moteur!G7),""))</f>
        <v>Transports</v>
      </c>
      <c r="Q5" s="361" t="str">
        <f>IF(Moteur!$D$6=3,HYPERLINK("#"&amp;Moteur!H6&amp;"!E1",Moteur!H6),IF(Moteur!$D$6=2,HYPERLINK("#"&amp;Moteur!H7&amp;"!E1",Moteur!H7),""))</f>
        <v>Déchets</v>
      </c>
      <c r="R5" s="479">
        <f>IF(Moteur!$D$6=3,HYPERLINK("#"&amp;Moteur!J6&amp;"!E1",Moteur!J6),IF(Moteur!$D$6=2,HYPERLINK("#"&amp;Moteur!J7&amp;"!E1",Moteur!J6),HYPERLINK("#"&amp;Moteur!J5&amp;"!E1",Moteur!J6)))</f>
        <v>0</v>
      </c>
      <c r="S5" s="358" t="str">
        <f>IF(Moteur!$D$6=3,HYPERLINK("#"&amp;Moteur!K6&amp;"!E1",Moteur!K6),IF(Moteur!$D$6=2,HYPERLINK("#"&amp;Moteur!K7&amp;"!E1",Moteur!K6),HYPERLINK("#"&amp;Moteur!K5&amp;"!E1",Moteur!K6)))</f>
        <v xml:space="preserve"> </v>
      </c>
      <c r="T5" s="358" t="str">
        <f>IF(Moteur!$D$6=3,HYPERLINK("#"&amp;Moteur!L6&amp;"!E1",Moteur!L6),IF(Moteur!$D$6=2,HYPERLINK("#"&amp;Moteur!L7&amp;"!E1",Moteur!L6),HYPERLINK("#"&amp;Moteur!L5&amp;"!E1",Moteur!L6)))</f>
        <v xml:space="preserve"> </v>
      </c>
    </row>
    <row r="6" spans="1:20" ht="11.4" customHeight="1">
      <c r="E6" s="152"/>
      <c r="F6" s="152"/>
      <c r="G6" s="152"/>
      <c r="H6" s="152"/>
      <c r="I6" s="152"/>
      <c r="J6" s="152"/>
      <c r="K6" s="152"/>
    </row>
    <row r="8" spans="1:20" ht="32.4" customHeight="1" thickBot="1">
      <c r="A8" s="363"/>
      <c r="C8" s="151" t="str">
        <f>IF(ISBLANK(E8),IF(ISBLANK(F8),"",F8),E8)</f>
        <v>Hypothèses</v>
      </c>
      <c r="D8" s="369"/>
      <c r="E8" s="617" t="s">
        <v>134</v>
      </c>
      <c r="F8" s="617"/>
      <c r="G8" s="617"/>
      <c r="H8" s="617"/>
      <c r="I8" s="617"/>
      <c r="J8" s="617"/>
      <c r="K8" s="617"/>
      <c r="L8" s="617"/>
      <c r="M8" s="369"/>
      <c r="N8" s="149"/>
    </row>
    <row r="9" spans="1:20" ht="15" thickTop="1">
      <c r="A9" s="363"/>
      <c r="C9" s="151" t="str">
        <f t="shared" ref="C9:C50" si="0">IF(ISBLANK(E9),IF(ISBLANK(F9),"",F9),E9)</f>
        <v/>
      </c>
      <c r="D9" s="3"/>
      <c r="E9" s="3"/>
      <c r="F9" s="3"/>
      <c r="G9" s="3"/>
      <c r="H9" s="3"/>
      <c r="I9" s="3"/>
      <c r="J9" s="3"/>
      <c r="K9" s="3"/>
      <c r="L9" s="3"/>
      <c r="M9" s="3"/>
    </row>
    <row r="10" spans="1:20" ht="14.4" customHeight="1">
      <c r="A10" s="363"/>
      <c r="C10" s="151" t="str">
        <f t="shared" si="0"/>
        <v/>
      </c>
      <c r="D10" s="112"/>
      <c r="E10" s="113"/>
      <c r="F10" s="113"/>
      <c r="G10" s="113"/>
      <c r="H10" s="113"/>
      <c r="I10" s="113"/>
      <c r="J10" s="113"/>
      <c r="K10" s="113"/>
      <c r="L10" s="113"/>
      <c r="M10" s="3"/>
    </row>
    <row r="11" spans="1:20" ht="28.8" thickBot="1">
      <c r="A11" s="363"/>
      <c r="B11" s="364"/>
      <c r="C11" s="151" t="str">
        <f t="shared" si="0"/>
        <v>Parc</v>
      </c>
      <c r="D11" s="369"/>
      <c r="E11" s="370"/>
      <c r="F11" s="617" t="s">
        <v>318</v>
      </c>
      <c r="G11" s="617"/>
      <c r="H11" s="617"/>
      <c r="I11" s="617"/>
      <c r="J11" s="617"/>
      <c r="K11" s="617"/>
      <c r="L11" s="617"/>
      <c r="M11" s="617"/>
    </row>
    <row r="12" spans="1:20" ht="15" thickTop="1">
      <c r="A12" s="363"/>
      <c r="B12" s="364"/>
      <c r="C12" s="151" t="str">
        <f t="shared" si="0"/>
        <v/>
      </c>
    </row>
    <row r="13" spans="1:20" outlineLevel="1">
      <c r="A13" s="363"/>
      <c r="B13" s="364"/>
      <c r="C13" s="151" t="str">
        <f t="shared" si="0"/>
        <v/>
      </c>
      <c r="D13" s="115"/>
      <c r="E13" s="115"/>
      <c r="F13" s="115"/>
      <c r="G13" s="115"/>
      <c r="H13" s="115"/>
      <c r="I13" s="115"/>
      <c r="J13" s="115"/>
      <c r="K13" s="115"/>
      <c r="L13" s="115"/>
      <c r="M13" s="115"/>
    </row>
    <row r="14" spans="1:20" ht="14.4" customHeight="1" outlineLevel="1">
      <c r="A14" s="363"/>
      <c r="B14" s="364"/>
      <c r="C14" s="151"/>
      <c r="D14" s="115"/>
      <c r="E14" s="142"/>
      <c r="F14" s="142"/>
      <c r="G14" s="142"/>
      <c r="H14" s="142"/>
      <c r="I14" s="142"/>
      <c r="J14" s="142"/>
      <c r="K14" s="142"/>
      <c r="L14" s="142"/>
      <c r="M14" s="115"/>
    </row>
    <row r="15" spans="1:20" ht="14.4" customHeight="1" outlineLevel="1" thickBot="1">
      <c r="A15" s="363"/>
      <c r="B15" s="364"/>
      <c r="C15" s="151"/>
      <c r="D15" s="115"/>
      <c r="E15" s="615" t="s">
        <v>324</v>
      </c>
      <c r="F15" s="615"/>
      <c r="G15" s="615"/>
      <c r="H15" s="615"/>
      <c r="I15" s="615"/>
      <c r="J15" s="615"/>
      <c r="K15" s="615"/>
      <c r="L15" s="615"/>
      <c r="M15" s="115"/>
    </row>
    <row r="16" spans="1:20" ht="14.4" customHeight="1" outlineLevel="2">
      <c r="A16" s="363"/>
      <c r="B16" s="364"/>
      <c r="C16" s="151"/>
      <c r="D16" s="115"/>
      <c r="E16" s="200" t="s">
        <v>845</v>
      </c>
      <c r="F16" s="201" t="s">
        <v>313</v>
      </c>
      <c r="G16" s="201" t="s">
        <v>314</v>
      </c>
      <c r="H16" s="201" t="s">
        <v>125</v>
      </c>
      <c r="I16" s="201" t="s">
        <v>315</v>
      </c>
      <c r="J16" s="201" t="s">
        <v>316</v>
      </c>
      <c r="K16" s="201" t="s">
        <v>317</v>
      </c>
      <c r="L16" s="202" t="s">
        <v>133</v>
      </c>
      <c r="M16" s="115"/>
    </row>
    <row r="17" spans="1:13" ht="14.4" customHeight="1" outlineLevel="2">
      <c r="A17" s="363"/>
      <c r="B17" s="364"/>
      <c r="C17" s="151"/>
      <c r="D17" s="115"/>
      <c r="E17" s="280" t="s">
        <v>319</v>
      </c>
      <c r="F17" s="440">
        <v>1.7</v>
      </c>
      <c r="G17" s="441">
        <v>1.9</v>
      </c>
      <c r="H17" s="441">
        <v>2</v>
      </c>
      <c r="I17" s="441">
        <v>2.2000000000000002</v>
      </c>
      <c r="J17" s="441">
        <v>2.2999999999999998</v>
      </c>
      <c r="K17" s="441">
        <v>2.2999999999999998</v>
      </c>
      <c r="L17" s="442">
        <v>2.2000000000000002</v>
      </c>
      <c r="M17" s="115"/>
    </row>
    <row r="18" spans="1:13" ht="14.4" customHeight="1" outlineLevel="2">
      <c r="A18" s="363"/>
      <c r="B18" s="364"/>
      <c r="C18" s="151"/>
      <c r="D18" s="115"/>
      <c r="E18" s="193" t="s">
        <v>320</v>
      </c>
      <c r="F18" s="294">
        <v>0.44500000000000001</v>
      </c>
      <c r="G18" s="295">
        <v>0.42099999999999999</v>
      </c>
      <c r="H18" s="295">
        <v>0.42099999999999999</v>
      </c>
      <c r="I18" s="295">
        <v>0.42099999999999999</v>
      </c>
      <c r="J18" s="295">
        <v>0.42099999999999999</v>
      </c>
      <c r="K18" s="295">
        <v>0.42099999999999999</v>
      </c>
      <c r="L18" s="295">
        <v>0.42099999999999999</v>
      </c>
      <c r="M18" s="115"/>
    </row>
    <row r="19" spans="1:13" ht="14.4" customHeight="1" outlineLevel="2">
      <c r="A19" s="363"/>
      <c r="B19" s="364"/>
      <c r="C19" s="151"/>
      <c r="D19" s="115"/>
      <c r="E19" s="193" t="s">
        <v>321</v>
      </c>
      <c r="F19" s="294">
        <f>0.0459</f>
        <v>4.5900000000000003E-2</v>
      </c>
      <c r="G19" s="295">
        <v>4.3999999999999997E-2</v>
      </c>
      <c r="H19" s="295">
        <v>4.3999999999999997E-2</v>
      </c>
      <c r="I19" s="295">
        <v>4.3999999999999997E-2</v>
      </c>
      <c r="J19" s="295">
        <v>4.3999999999999997E-2</v>
      </c>
      <c r="K19" s="295">
        <v>4.3999999999999997E-2</v>
      </c>
      <c r="L19" s="295">
        <v>4.3999999999999997E-2</v>
      </c>
      <c r="M19" s="115"/>
    </row>
    <row r="20" spans="1:13" ht="14.4" customHeight="1" outlineLevel="2">
      <c r="A20" s="363"/>
      <c r="B20" s="364"/>
      <c r="C20" s="151"/>
      <c r="D20" s="115"/>
      <c r="E20" s="193" t="s">
        <v>322</v>
      </c>
      <c r="F20" s="294">
        <v>7.1999999999999998E-3</v>
      </c>
      <c r="G20" s="295">
        <v>6.1999999999999998E-3</v>
      </c>
      <c r="H20" s="295">
        <v>6.1999999999999998E-3</v>
      </c>
      <c r="I20" s="295">
        <v>6.1999999999999998E-3</v>
      </c>
      <c r="J20" s="295">
        <v>6.1999999999999998E-3</v>
      </c>
      <c r="K20" s="295">
        <v>6.1999999999999998E-3</v>
      </c>
      <c r="L20" s="295">
        <v>6.1999999999999998E-3</v>
      </c>
      <c r="M20" s="115"/>
    </row>
    <row r="21" spans="1:13" ht="14.4" customHeight="1" outlineLevel="2">
      <c r="A21" s="363"/>
      <c r="B21" s="364"/>
      <c r="C21" s="151"/>
      <c r="D21" s="115"/>
      <c r="E21" s="645" t="s">
        <v>967</v>
      </c>
      <c r="F21" s="645"/>
      <c r="G21" s="645"/>
      <c r="H21" s="645"/>
      <c r="I21" s="645"/>
      <c r="J21" s="645"/>
      <c r="K21" s="645"/>
      <c r="L21" s="645"/>
      <c r="M21" s="115"/>
    </row>
    <row r="22" spans="1:13" outlineLevel="1">
      <c r="A22" s="363"/>
      <c r="B22" s="364"/>
      <c r="C22" s="151" t="str">
        <f t="shared" si="0"/>
        <v/>
      </c>
      <c r="D22" s="115"/>
      <c r="E22" s="115"/>
      <c r="F22" s="115"/>
      <c r="G22" s="115"/>
      <c r="H22" s="115"/>
      <c r="I22" s="115"/>
      <c r="J22" s="115"/>
      <c r="K22" s="115"/>
      <c r="L22" s="115"/>
      <c r="M22" s="115"/>
    </row>
    <row r="23" spans="1:13" ht="15" outlineLevel="1" thickBot="1">
      <c r="A23" s="363"/>
      <c r="B23" s="364"/>
      <c r="C23" s="151" t="str">
        <f t="shared" si="0"/>
        <v>Parc de véhicules (millions)</v>
      </c>
      <c r="D23" s="115"/>
      <c r="E23" s="615" t="s">
        <v>323</v>
      </c>
      <c r="F23" s="615"/>
      <c r="G23" s="615"/>
      <c r="H23" s="615"/>
      <c r="I23" s="615"/>
      <c r="J23" s="615"/>
      <c r="K23" s="615"/>
      <c r="L23" s="615"/>
      <c r="M23" s="115"/>
    </row>
    <row r="24" spans="1:13" outlineLevel="2">
      <c r="A24" s="363"/>
      <c r="B24" s="364"/>
      <c r="C24" s="151" t="str">
        <f t="shared" si="0"/>
        <v>Millions de véhicules</v>
      </c>
      <c r="D24" s="115"/>
      <c r="E24" s="200" t="s">
        <v>845</v>
      </c>
      <c r="F24" s="201" t="s">
        <v>313</v>
      </c>
      <c r="G24" s="201" t="s">
        <v>314</v>
      </c>
      <c r="H24" s="201" t="s">
        <v>125</v>
      </c>
      <c r="I24" s="201" t="s">
        <v>315</v>
      </c>
      <c r="J24" s="201" t="s">
        <v>316</v>
      </c>
      <c r="K24" s="201" t="s">
        <v>317</v>
      </c>
      <c r="L24" s="202" t="s">
        <v>133</v>
      </c>
      <c r="M24" s="115"/>
    </row>
    <row r="25" spans="1:13" outlineLevel="2">
      <c r="A25" s="363"/>
      <c r="B25" s="364"/>
      <c r="C25" s="151" t="str">
        <f t="shared" si="0"/>
        <v>Véhicules particuliers</v>
      </c>
      <c r="D25" s="115"/>
      <c r="E25" s="280" t="s">
        <v>319</v>
      </c>
      <c r="F25" s="212">
        <v>37.9</v>
      </c>
      <c r="G25" s="213">
        <v>38</v>
      </c>
      <c r="H25" s="213">
        <v>38.4</v>
      </c>
      <c r="I25" s="213">
        <v>38.6</v>
      </c>
      <c r="J25" s="213">
        <v>38.700000000000003</v>
      </c>
      <c r="K25" s="213">
        <v>38.700000000000003</v>
      </c>
      <c r="L25" s="279">
        <v>38.700000000000003</v>
      </c>
      <c r="M25" s="115"/>
    </row>
    <row r="26" spans="1:13" outlineLevel="2">
      <c r="A26" s="363"/>
      <c r="B26" s="364"/>
      <c r="C26" s="151" t="str">
        <f t="shared" si="0"/>
        <v>Véhicules utilitaires légers</v>
      </c>
      <c r="D26" s="115"/>
      <c r="E26" s="193" t="s">
        <v>320</v>
      </c>
      <c r="F26" s="135">
        <v>6.32</v>
      </c>
      <c r="G26" s="136">
        <v>6.1959999999999997</v>
      </c>
      <c r="H26" s="136">
        <v>6.1959999999999997</v>
      </c>
      <c r="I26" s="136">
        <v>6.1959999999999997</v>
      </c>
      <c r="J26" s="136">
        <v>6.1959999999999997</v>
      </c>
      <c r="K26" s="136">
        <v>6.1959999999999997</v>
      </c>
      <c r="L26" s="136">
        <v>6.1959999999999997</v>
      </c>
      <c r="M26" s="115"/>
    </row>
    <row r="27" spans="1:13" outlineLevel="2">
      <c r="A27" s="363"/>
      <c r="B27" s="364"/>
      <c r="C27" s="151" t="str">
        <f t="shared" si="0"/>
        <v>Poids lourds</v>
      </c>
      <c r="D27" s="115"/>
      <c r="E27" s="193" t="s">
        <v>321</v>
      </c>
      <c r="F27" s="135">
        <v>0.61199999999999999</v>
      </c>
      <c r="G27" s="136">
        <v>0.60499999999999998</v>
      </c>
      <c r="H27" s="136">
        <v>0.60499999999999998</v>
      </c>
      <c r="I27" s="136">
        <v>0.60499999999999998</v>
      </c>
      <c r="J27" s="136">
        <v>0.60499999999999998</v>
      </c>
      <c r="K27" s="136">
        <v>0.60499999999999998</v>
      </c>
      <c r="L27" s="136">
        <v>0.60499999999999998</v>
      </c>
      <c r="M27" s="115"/>
    </row>
    <row r="28" spans="1:13" outlineLevel="2">
      <c r="A28" s="363"/>
      <c r="B28" s="364"/>
      <c r="C28" s="151" t="str">
        <f t="shared" si="0"/>
        <v>Bus et car</v>
      </c>
      <c r="D28" s="115"/>
      <c r="E28" s="193" t="s">
        <v>322</v>
      </c>
      <c r="F28" s="135">
        <v>9.4E-2</v>
      </c>
      <c r="G28" s="136">
        <v>9.4E-2</v>
      </c>
      <c r="H28" s="136">
        <v>9.4E-2</v>
      </c>
      <c r="I28" s="136">
        <v>9.4E-2</v>
      </c>
      <c r="J28" s="136">
        <v>9.4E-2</v>
      </c>
      <c r="K28" s="136">
        <v>9.4E-2</v>
      </c>
      <c r="L28" s="136">
        <v>9.4E-2</v>
      </c>
      <c r="M28" s="115"/>
    </row>
    <row r="29" spans="1:13" ht="14.4" customHeight="1" outlineLevel="2">
      <c r="A29" s="363"/>
      <c r="B29" s="364"/>
      <c r="C29" s="151" t="str">
        <f t="shared" si="0"/>
        <v xml:space="preserve"> Périmètre hexagone</v>
      </c>
      <c r="D29" s="115"/>
      <c r="E29" s="645" t="s">
        <v>967</v>
      </c>
      <c r="F29" s="645"/>
      <c r="G29" s="645"/>
      <c r="H29" s="645"/>
      <c r="I29" s="645"/>
      <c r="J29" s="645"/>
      <c r="K29" s="645"/>
      <c r="L29" s="645"/>
      <c r="M29" s="115"/>
    </row>
    <row r="30" spans="1:13" ht="14.4" customHeight="1" outlineLevel="1">
      <c r="A30" s="363"/>
      <c r="B30" s="364"/>
      <c r="C30" s="151"/>
      <c r="D30" s="115"/>
      <c r="E30" s="142"/>
      <c r="F30" s="142"/>
      <c r="G30" s="142"/>
      <c r="H30" s="142"/>
      <c r="I30" s="142"/>
      <c r="J30" s="142"/>
      <c r="K30" s="142"/>
      <c r="L30" s="142"/>
      <c r="M30" s="115"/>
    </row>
    <row r="31" spans="1:13" ht="28.8" thickBot="1">
      <c r="A31" s="363"/>
      <c r="B31" s="364"/>
      <c r="C31" s="151" t="str">
        <f t="shared" si="0"/>
        <v>Véhicules neufs</v>
      </c>
      <c r="D31" s="369"/>
      <c r="E31" s="370"/>
      <c r="F31" s="617" t="s">
        <v>331</v>
      </c>
      <c r="G31" s="617"/>
      <c r="H31" s="617"/>
      <c r="I31" s="617"/>
      <c r="J31" s="617"/>
      <c r="K31" s="617"/>
      <c r="L31" s="617"/>
      <c r="M31" s="617"/>
    </row>
    <row r="32" spans="1:13" ht="13.2" customHeight="1" thickTop="1">
      <c r="A32" s="363"/>
      <c r="B32" s="365"/>
      <c r="C32" s="151" t="str">
        <f t="shared" si="0"/>
        <v/>
      </c>
      <c r="D32" s="203"/>
      <c r="E32" s="203"/>
      <c r="F32" s="203"/>
    </row>
    <row r="33" spans="1:13" outlineLevel="1">
      <c r="A33" s="363"/>
      <c r="B33" s="365"/>
      <c r="C33" s="151" t="str">
        <f t="shared" si="0"/>
        <v/>
      </c>
      <c r="D33" s="115"/>
      <c r="E33" s="115"/>
      <c r="F33" s="115"/>
      <c r="G33" s="115"/>
      <c r="H33" s="115"/>
      <c r="I33" s="115"/>
      <c r="J33" s="115"/>
      <c r="K33" s="115"/>
      <c r="L33" s="115"/>
      <c r="M33" s="115"/>
    </row>
    <row r="34" spans="1:13" ht="15" customHeight="1" outlineLevel="1">
      <c r="A34" s="363"/>
      <c r="B34" s="365"/>
      <c r="C34" s="151" t="str">
        <f t="shared" si="0"/>
        <v/>
      </c>
      <c r="D34" s="115"/>
      <c r="E34" s="115"/>
      <c r="F34" s="115"/>
      <c r="G34" s="115"/>
      <c r="H34" s="115"/>
      <c r="I34" s="115"/>
      <c r="J34" s="115"/>
      <c r="K34" s="115"/>
      <c r="L34" s="115"/>
      <c r="M34" s="115"/>
    </row>
    <row r="35" spans="1:13" ht="15" customHeight="1" outlineLevel="1" thickBot="1">
      <c r="A35" s="363"/>
      <c r="B35" s="365"/>
      <c r="C35" s="151" t="str">
        <f t="shared" si="0"/>
        <v>Part de marché des vehicules particuliers neufs (%)</v>
      </c>
      <c r="D35" s="115"/>
      <c r="E35" s="615" t="s">
        <v>325</v>
      </c>
      <c r="F35" s="615"/>
      <c r="G35" s="615"/>
      <c r="H35" s="615"/>
      <c r="I35" s="615"/>
      <c r="J35" s="615"/>
      <c r="K35" s="615"/>
      <c r="L35" s="615"/>
      <c r="M35" s="115"/>
    </row>
    <row r="36" spans="1:13" outlineLevel="2">
      <c r="A36" s="363"/>
      <c r="B36" s="365"/>
      <c r="C36" s="151" t="str">
        <f t="shared" si="0"/>
        <v>%</v>
      </c>
      <c r="D36" s="115"/>
      <c r="E36" s="119" t="s">
        <v>121</v>
      </c>
      <c r="F36" s="130">
        <v>2021</v>
      </c>
      <c r="G36" s="130">
        <v>2025</v>
      </c>
      <c r="H36" s="130">
        <v>2030</v>
      </c>
      <c r="I36" s="130">
        <v>2035</v>
      </c>
      <c r="J36" s="130">
        <v>2040</v>
      </c>
      <c r="K36" s="130">
        <v>2045</v>
      </c>
      <c r="L36" s="131">
        <v>2050</v>
      </c>
      <c r="M36" s="115"/>
    </row>
    <row r="37" spans="1:13" outlineLevel="2">
      <c r="A37" s="363"/>
      <c r="B37" s="365"/>
      <c r="C37" s="151" t="str">
        <f t="shared" si="0"/>
        <v>Essence</v>
      </c>
      <c r="D37" s="115"/>
      <c r="E37" s="122" t="s">
        <v>327</v>
      </c>
      <c r="F37" s="180">
        <v>0.59102989158265906</v>
      </c>
      <c r="G37" s="181">
        <v>0.52929999999999999</v>
      </c>
      <c r="H37" s="181">
        <v>0.316</v>
      </c>
      <c r="I37" s="181">
        <v>0</v>
      </c>
      <c r="J37" s="181">
        <v>0</v>
      </c>
      <c r="K37" s="181">
        <v>0</v>
      </c>
      <c r="L37" s="281">
        <v>0</v>
      </c>
      <c r="M37" s="115"/>
    </row>
    <row r="38" spans="1:13" outlineLevel="2">
      <c r="A38" s="363"/>
      <c r="B38" s="365"/>
      <c r="C38" s="151" t="str">
        <f t="shared" si="0"/>
        <v>Diesel</v>
      </c>
      <c r="D38" s="115"/>
      <c r="E38" s="122" t="s">
        <v>328</v>
      </c>
      <c r="F38" s="177">
        <v>0.2293753932140401</v>
      </c>
      <c r="G38" s="174">
        <v>0.14069999999999994</v>
      </c>
      <c r="H38" s="174">
        <v>8.3999999999999964E-2</v>
      </c>
      <c r="I38" s="174">
        <v>0</v>
      </c>
      <c r="J38" s="174">
        <v>0</v>
      </c>
      <c r="K38" s="174">
        <v>0</v>
      </c>
      <c r="L38" s="205">
        <v>0</v>
      </c>
      <c r="M38" s="115"/>
    </row>
    <row r="39" spans="1:13" outlineLevel="2">
      <c r="A39" s="363"/>
      <c r="B39" s="365"/>
      <c r="C39" s="151" t="str">
        <f t="shared" si="0"/>
        <v>Electrique</v>
      </c>
      <c r="D39" s="115"/>
      <c r="E39" s="122" t="s">
        <v>329</v>
      </c>
      <c r="F39" s="177">
        <v>9.6933003643173796E-2</v>
      </c>
      <c r="G39" s="174">
        <v>0.26</v>
      </c>
      <c r="H39" s="174">
        <v>0.55000000000000004</v>
      </c>
      <c r="I39" s="174">
        <v>1</v>
      </c>
      <c r="J39" s="174">
        <v>1</v>
      </c>
      <c r="K39" s="174">
        <v>1</v>
      </c>
      <c r="L39" s="205">
        <v>1</v>
      </c>
      <c r="M39" s="115"/>
    </row>
    <row r="40" spans="1:13" outlineLevel="2">
      <c r="A40" s="363"/>
      <c r="B40" s="365"/>
      <c r="C40" s="151" t="str">
        <f t="shared" si="0"/>
        <v>Hybride rechargeable</v>
      </c>
      <c r="D40" s="115"/>
      <c r="E40" s="122" t="s">
        <v>330</v>
      </c>
      <c r="F40" s="177">
        <v>8.2661711560126999E-2</v>
      </c>
      <c r="G40" s="174">
        <v>7.0000000000000007E-2</v>
      </c>
      <c r="H40" s="174">
        <v>0.05</v>
      </c>
      <c r="I40" s="174">
        <v>0</v>
      </c>
      <c r="J40" s="174">
        <v>0</v>
      </c>
      <c r="K40" s="174">
        <v>0</v>
      </c>
      <c r="L40" s="205">
        <v>0</v>
      </c>
      <c r="M40" s="115"/>
    </row>
    <row r="41" spans="1:13" outlineLevel="2">
      <c r="A41" s="363"/>
      <c r="B41" s="365"/>
      <c r="C41" s="151" t="str">
        <f t="shared" si="0"/>
        <v>Hydrogène</v>
      </c>
      <c r="D41" s="115"/>
      <c r="E41" s="122" t="s">
        <v>196</v>
      </c>
      <c r="F41" s="177">
        <v>0</v>
      </c>
      <c r="G41" s="174">
        <v>0</v>
      </c>
      <c r="H41" s="174">
        <v>0</v>
      </c>
      <c r="I41" s="174">
        <v>0</v>
      </c>
      <c r="J41" s="174">
        <v>0</v>
      </c>
      <c r="K41" s="174">
        <v>0</v>
      </c>
      <c r="L41" s="205">
        <v>0</v>
      </c>
      <c r="M41" s="115"/>
    </row>
    <row r="42" spans="1:13" outlineLevel="2">
      <c r="A42" s="363"/>
      <c r="B42" s="365"/>
      <c r="C42" s="151" t="str">
        <f t="shared" si="0"/>
        <v xml:space="preserve"> Périmètre hexagone</v>
      </c>
      <c r="D42" s="115"/>
      <c r="E42" s="645" t="s">
        <v>967</v>
      </c>
      <c r="F42" s="645"/>
      <c r="G42" s="645"/>
      <c r="H42" s="645"/>
      <c r="I42" s="645"/>
      <c r="J42" s="645"/>
      <c r="K42" s="645"/>
      <c r="L42" s="645"/>
      <c r="M42" s="115"/>
    </row>
    <row r="43" spans="1:13" outlineLevel="1">
      <c r="A43" s="363"/>
      <c r="B43" s="365"/>
      <c r="C43" s="151" t="str">
        <f t="shared" si="0"/>
        <v/>
      </c>
      <c r="D43" s="115"/>
      <c r="E43" s="115"/>
      <c r="F43" s="115"/>
      <c r="G43" s="115"/>
      <c r="H43" s="115"/>
      <c r="I43" s="115"/>
      <c r="J43" s="115"/>
      <c r="K43" s="115"/>
      <c r="L43" s="115"/>
      <c r="M43" s="115"/>
    </row>
    <row r="44" spans="1:13" ht="15" outlineLevel="1" thickBot="1">
      <c r="A44" s="363"/>
      <c r="B44" s="365"/>
      <c r="C44" s="151" t="str">
        <f t="shared" si="0"/>
        <v>Part de marché des véhicules utilitaires légers neufs (%)</v>
      </c>
      <c r="D44" s="115"/>
      <c r="E44" s="615" t="s">
        <v>333</v>
      </c>
      <c r="F44" s="615"/>
      <c r="G44" s="615"/>
      <c r="H44" s="615"/>
      <c r="I44" s="615"/>
      <c r="J44" s="615"/>
      <c r="K44" s="615"/>
      <c r="L44" s="615"/>
      <c r="M44" s="115"/>
    </row>
    <row r="45" spans="1:13" outlineLevel="2">
      <c r="A45" s="363"/>
      <c r="B45" s="365"/>
      <c r="C45" s="151" t="str">
        <f t="shared" si="0"/>
        <v>%</v>
      </c>
      <c r="D45" s="115"/>
      <c r="E45" s="119" t="s">
        <v>121</v>
      </c>
      <c r="F45" s="130">
        <v>2021</v>
      </c>
      <c r="G45" s="130">
        <v>2025</v>
      </c>
      <c r="H45" s="130">
        <v>2030</v>
      </c>
      <c r="I45" s="130">
        <v>2035</v>
      </c>
      <c r="J45" s="130">
        <v>2040</v>
      </c>
      <c r="K45" s="130">
        <v>2045</v>
      </c>
      <c r="L45" s="131">
        <v>2050</v>
      </c>
      <c r="M45" s="115"/>
    </row>
    <row r="46" spans="1:13" outlineLevel="2">
      <c r="A46" s="363"/>
      <c r="B46" s="365"/>
      <c r="C46" s="151" t="str">
        <f t="shared" si="0"/>
        <v>Thermiques</v>
      </c>
      <c r="D46" s="115"/>
      <c r="E46" s="179" t="s">
        <v>326</v>
      </c>
      <c r="F46" s="180">
        <v>0.99</v>
      </c>
      <c r="G46" s="174">
        <v>0.97</v>
      </c>
      <c r="H46" s="174">
        <v>0.87</v>
      </c>
      <c r="I46" s="174">
        <v>0.64</v>
      </c>
      <c r="J46" s="174">
        <v>0.34</v>
      </c>
      <c r="K46" s="174">
        <v>0.14000000000000001</v>
      </c>
      <c r="L46" s="205">
        <v>7.0000000000000007E-2</v>
      </c>
      <c r="M46" s="115"/>
    </row>
    <row r="47" spans="1:13" outlineLevel="2">
      <c r="A47" s="363"/>
      <c r="B47" s="365"/>
      <c r="C47" s="151" t="str">
        <f t="shared" si="0"/>
        <v>Electrique</v>
      </c>
      <c r="D47" s="115"/>
      <c r="E47" s="122" t="s">
        <v>329</v>
      </c>
      <c r="F47" s="177">
        <v>0.01</v>
      </c>
      <c r="G47" s="174">
        <v>0.03</v>
      </c>
      <c r="H47" s="174">
        <v>0.13</v>
      </c>
      <c r="I47" s="174">
        <v>0.35</v>
      </c>
      <c r="J47" s="174">
        <v>0.64</v>
      </c>
      <c r="K47" s="174">
        <v>0.84</v>
      </c>
      <c r="L47" s="205">
        <v>0.9</v>
      </c>
      <c r="M47" s="115"/>
    </row>
    <row r="48" spans="1:13" outlineLevel="2">
      <c r="A48" s="363"/>
      <c r="B48" s="365"/>
      <c r="C48" s="151" t="str">
        <f t="shared" si="0"/>
        <v>H2</v>
      </c>
      <c r="D48" s="115"/>
      <c r="E48" s="122" t="s">
        <v>332</v>
      </c>
      <c r="F48" s="177">
        <v>0</v>
      </c>
      <c r="G48" s="174">
        <v>0</v>
      </c>
      <c r="H48" s="174">
        <v>0</v>
      </c>
      <c r="I48" s="174">
        <v>0.01</v>
      </c>
      <c r="J48" s="174">
        <v>0.01</v>
      </c>
      <c r="K48" s="174">
        <v>0.02</v>
      </c>
      <c r="L48" s="205">
        <v>0.03</v>
      </c>
      <c r="M48" s="115"/>
    </row>
    <row r="49" spans="1:13" outlineLevel="2">
      <c r="A49" s="363"/>
      <c r="B49" s="365"/>
      <c r="C49" s="151" t="str">
        <f t="shared" si="0"/>
        <v xml:space="preserve"> Périmètre hexagone</v>
      </c>
      <c r="D49" s="115"/>
      <c r="E49" s="645" t="s">
        <v>967</v>
      </c>
      <c r="F49" s="645"/>
      <c r="G49" s="645"/>
      <c r="H49" s="645"/>
      <c r="I49" s="645"/>
      <c r="J49" s="645"/>
      <c r="K49" s="645"/>
      <c r="L49" s="645"/>
      <c r="M49" s="115"/>
    </row>
    <row r="50" spans="1:13" outlineLevel="1">
      <c r="A50" s="363"/>
      <c r="B50" s="365"/>
      <c r="C50" s="151" t="str">
        <f t="shared" si="0"/>
        <v/>
      </c>
      <c r="D50" s="115"/>
      <c r="E50" s="142"/>
      <c r="F50" s="142"/>
      <c r="G50" s="142"/>
      <c r="H50" s="142"/>
      <c r="I50" s="142"/>
      <c r="J50" s="142"/>
      <c r="K50" s="142"/>
      <c r="L50" s="142"/>
      <c r="M50" s="115"/>
    </row>
    <row r="51" spans="1:13" ht="15" outlineLevel="1" thickBot="1">
      <c r="A51" s="363"/>
      <c r="B51" s="365"/>
      <c r="C51" s="151" t="str">
        <f t="shared" ref="C51:C85" si="1">IF(ISBLANK(E51),IF(ISBLANK(F51),"",F51),E51)</f>
        <v>Part de marché des poids lourds neufs (%)</v>
      </c>
      <c r="D51" s="115"/>
      <c r="E51" s="615" t="s">
        <v>334</v>
      </c>
      <c r="F51" s="615"/>
      <c r="G51" s="615"/>
      <c r="H51" s="615"/>
      <c r="I51" s="615"/>
      <c r="J51" s="615"/>
      <c r="K51" s="615"/>
      <c r="L51" s="615"/>
      <c r="M51" s="115"/>
    </row>
    <row r="52" spans="1:13" outlineLevel="2">
      <c r="A52" s="363"/>
      <c r="B52" s="365"/>
      <c r="C52" s="151" t="str">
        <f t="shared" si="1"/>
        <v>%</v>
      </c>
      <c r="D52" s="115"/>
      <c r="E52" s="119" t="s">
        <v>121</v>
      </c>
      <c r="F52" s="130">
        <v>2021</v>
      </c>
      <c r="G52" s="130">
        <v>2025</v>
      </c>
      <c r="H52" s="130">
        <v>2030</v>
      </c>
      <c r="I52" s="130">
        <v>2035</v>
      </c>
      <c r="J52" s="130">
        <v>2040</v>
      </c>
      <c r="K52" s="130">
        <v>2045</v>
      </c>
      <c r="L52" s="131">
        <v>2050</v>
      </c>
      <c r="M52" s="115"/>
    </row>
    <row r="53" spans="1:13" outlineLevel="2">
      <c r="A53" s="363"/>
      <c r="B53" s="365"/>
      <c r="C53" s="151" t="str">
        <f t="shared" si="1"/>
        <v>Thermiques</v>
      </c>
      <c r="D53" s="115"/>
      <c r="E53" s="179" t="s">
        <v>326</v>
      </c>
      <c r="F53" s="177">
        <v>0.96</v>
      </c>
      <c r="G53" s="174">
        <v>0.85</v>
      </c>
      <c r="H53" s="174">
        <v>0.72</v>
      </c>
      <c r="I53" s="174">
        <v>0.72</v>
      </c>
      <c r="J53" s="174">
        <v>0.72</v>
      </c>
      <c r="K53" s="174">
        <v>0.72</v>
      </c>
      <c r="L53" s="205">
        <v>0.72</v>
      </c>
      <c r="M53" s="115"/>
    </row>
    <row r="54" spans="1:13" outlineLevel="2">
      <c r="A54" s="363"/>
      <c r="B54" s="365"/>
      <c r="C54" s="151" t="str">
        <f t="shared" si="1"/>
        <v>GNV</v>
      </c>
      <c r="D54" s="115"/>
      <c r="E54" s="122" t="s">
        <v>335</v>
      </c>
      <c r="F54" s="177">
        <v>0.04</v>
      </c>
      <c r="G54" s="174">
        <v>0.05</v>
      </c>
      <c r="H54" s="174">
        <v>0.05</v>
      </c>
      <c r="I54" s="174">
        <v>0.05</v>
      </c>
      <c r="J54" s="174">
        <v>0.05</v>
      </c>
      <c r="K54" s="174">
        <v>0.05</v>
      </c>
      <c r="L54" s="205">
        <v>0.05</v>
      </c>
      <c r="M54" s="115"/>
    </row>
    <row r="55" spans="1:13" outlineLevel="2">
      <c r="A55" s="363"/>
      <c r="B55" s="365"/>
      <c r="C55" s="151" t="str">
        <f t="shared" si="1"/>
        <v>Electrique</v>
      </c>
      <c r="D55" s="115"/>
      <c r="E55" s="122" t="s">
        <v>329</v>
      </c>
      <c r="F55" s="177">
        <v>0</v>
      </c>
      <c r="G55" s="174">
        <v>0.1</v>
      </c>
      <c r="H55" s="174">
        <v>0.22</v>
      </c>
      <c r="I55" s="174">
        <v>0.22</v>
      </c>
      <c r="J55" s="174">
        <v>0.22</v>
      </c>
      <c r="K55" s="174">
        <v>0.22</v>
      </c>
      <c r="L55" s="205">
        <v>0.22</v>
      </c>
      <c r="M55" s="115"/>
    </row>
    <row r="56" spans="1:13" outlineLevel="2">
      <c r="A56" s="363"/>
      <c r="B56" s="365"/>
      <c r="C56" s="151" t="str">
        <f t="shared" si="1"/>
        <v>H2</v>
      </c>
      <c r="D56" s="115"/>
      <c r="E56" s="122" t="s">
        <v>332</v>
      </c>
      <c r="F56" s="177">
        <v>0</v>
      </c>
      <c r="G56" s="174">
        <v>0</v>
      </c>
      <c r="H56" s="174">
        <v>0.01</v>
      </c>
      <c r="I56" s="174">
        <v>0.01</v>
      </c>
      <c r="J56" s="174">
        <v>0.01</v>
      </c>
      <c r="K56" s="174">
        <v>0.01</v>
      </c>
      <c r="L56" s="205">
        <v>0.01</v>
      </c>
      <c r="M56" s="115"/>
    </row>
    <row r="57" spans="1:13" outlineLevel="2">
      <c r="A57" s="363"/>
      <c r="B57" s="365"/>
      <c r="C57" s="151" t="str">
        <f t="shared" si="1"/>
        <v xml:space="preserve"> Périmètre hexagone</v>
      </c>
      <c r="D57" s="115"/>
      <c r="E57" s="645" t="s">
        <v>967</v>
      </c>
      <c r="F57" s="645"/>
      <c r="G57" s="645"/>
      <c r="H57" s="645"/>
      <c r="I57" s="645"/>
      <c r="J57" s="645"/>
      <c r="K57" s="645"/>
      <c r="L57" s="645"/>
      <c r="M57" s="115"/>
    </row>
    <row r="58" spans="1:13" outlineLevel="1">
      <c r="A58" s="363"/>
      <c r="B58" s="365"/>
      <c r="C58" s="151" t="str">
        <f t="shared" si="1"/>
        <v/>
      </c>
      <c r="D58" s="115"/>
      <c r="E58" s="142"/>
      <c r="F58" s="142"/>
      <c r="G58" s="142"/>
      <c r="H58" s="142"/>
      <c r="I58" s="142"/>
      <c r="J58" s="142"/>
      <c r="K58" s="142"/>
      <c r="L58" s="142"/>
      <c r="M58" s="115"/>
    </row>
    <row r="59" spans="1:13" ht="15" outlineLevel="1" thickBot="1">
      <c r="A59" s="363"/>
      <c r="B59" s="365"/>
      <c r="C59" s="151" t="str">
        <f t="shared" si="1"/>
        <v>Part de marché des bus et cars neufs (%)</v>
      </c>
      <c r="D59" s="115"/>
      <c r="E59" s="615" t="s">
        <v>336</v>
      </c>
      <c r="F59" s="615"/>
      <c r="G59" s="615"/>
      <c r="H59" s="615"/>
      <c r="I59" s="615"/>
      <c r="J59" s="615"/>
      <c r="K59" s="615"/>
      <c r="L59" s="615"/>
      <c r="M59" s="115"/>
    </row>
    <row r="60" spans="1:13" outlineLevel="2">
      <c r="A60" s="363"/>
      <c r="B60" s="365"/>
      <c r="C60" s="151" t="str">
        <f t="shared" si="1"/>
        <v>%</v>
      </c>
      <c r="D60" s="115"/>
      <c r="E60" s="119" t="s">
        <v>121</v>
      </c>
      <c r="F60" s="130">
        <v>2021</v>
      </c>
      <c r="G60" s="130">
        <v>2025</v>
      </c>
      <c r="H60" s="130">
        <v>2030</v>
      </c>
      <c r="I60" s="130">
        <v>2035</v>
      </c>
      <c r="J60" s="130">
        <v>2040</v>
      </c>
      <c r="K60" s="130">
        <v>2045</v>
      </c>
      <c r="L60" s="131">
        <v>2050</v>
      </c>
      <c r="M60" s="115"/>
    </row>
    <row r="61" spans="1:13" outlineLevel="2">
      <c r="A61" s="363"/>
      <c r="B61" s="365"/>
      <c r="C61" s="151" t="str">
        <f t="shared" si="1"/>
        <v>Gazole</v>
      </c>
      <c r="D61" s="115"/>
      <c r="E61" s="122" t="s">
        <v>337</v>
      </c>
      <c r="F61" s="177">
        <v>0.67</v>
      </c>
      <c r="G61" s="174">
        <v>0.61</v>
      </c>
      <c r="H61" s="174">
        <v>0.61</v>
      </c>
      <c r="I61" s="174">
        <v>0.61</v>
      </c>
      <c r="J61" s="174">
        <v>0.61</v>
      </c>
      <c r="K61" s="174">
        <v>0.61</v>
      </c>
      <c r="L61" s="205">
        <v>0.61</v>
      </c>
      <c r="M61" s="115"/>
    </row>
    <row r="62" spans="1:13" outlineLevel="2">
      <c r="A62" s="363"/>
      <c r="B62" s="365"/>
      <c r="C62" s="151" t="str">
        <f t="shared" si="1"/>
        <v>GNV</v>
      </c>
      <c r="D62" s="115"/>
      <c r="E62" s="122" t="s">
        <v>335</v>
      </c>
      <c r="F62" s="177">
        <v>0.24</v>
      </c>
      <c r="G62" s="174">
        <v>0.2</v>
      </c>
      <c r="H62" s="174">
        <v>0.15</v>
      </c>
      <c r="I62" s="174">
        <v>0.13</v>
      </c>
      <c r="J62" s="174">
        <v>0.13</v>
      </c>
      <c r="K62" s="174">
        <v>0.13</v>
      </c>
      <c r="L62" s="205">
        <v>0.13</v>
      </c>
      <c r="M62" s="115"/>
    </row>
    <row r="63" spans="1:13" outlineLevel="2">
      <c r="A63" s="363"/>
      <c r="B63" s="365"/>
      <c r="C63" s="151" t="str">
        <f t="shared" si="1"/>
        <v>Electrique</v>
      </c>
      <c r="D63" s="115"/>
      <c r="E63" s="122" t="s">
        <v>329</v>
      </c>
      <c r="F63" s="177">
        <v>0.09</v>
      </c>
      <c r="G63" s="174">
        <v>0.19</v>
      </c>
      <c r="H63" s="174">
        <v>0.24</v>
      </c>
      <c r="I63" s="174">
        <v>0.25</v>
      </c>
      <c r="J63" s="174">
        <v>0.25</v>
      </c>
      <c r="K63" s="174">
        <v>0.25</v>
      </c>
      <c r="L63" s="205">
        <v>0.25</v>
      </c>
      <c r="M63" s="115"/>
    </row>
    <row r="64" spans="1:13" outlineLevel="2">
      <c r="A64" s="363"/>
      <c r="B64" s="365"/>
      <c r="C64" s="151" t="str">
        <f t="shared" si="1"/>
        <v>Hydrogène</v>
      </c>
      <c r="D64" s="115"/>
      <c r="E64" s="122" t="s">
        <v>196</v>
      </c>
      <c r="F64" s="177">
        <v>0</v>
      </c>
      <c r="G64" s="174">
        <v>0</v>
      </c>
      <c r="H64" s="174">
        <v>0</v>
      </c>
      <c r="I64" s="174">
        <v>0</v>
      </c>
      <c r="J64" s="174">
        <v>0</v>
      </c>
      <c r="K64" s="174">
        <v>0</v>
      </c>
      <c r="L64" s="205">
        <v>0</v>
      </c>
      <c r="M64" s="115"/>
    </row>
    <row r="65" spans="1:13" outlineLevel="2">
      <c r="A65" s="363"/>
      <c r="B65" s="365"/>
      <c r="C65" s="151" t="str">
        <f t="shared" si="1"/>
        <v xml:space="preserve"> Périmètre hexagone</v>
      </c>
      <c r="D65" s="115"/>
      <c r="E65" s="645" t="s">
        <v>967</v>
      </c>
      <c r="F65" s="645"/>
      <c r="G65" s="645"/>
      <c r="H65" s="645"/>
      <c r="I65" s="645"/>
      <c r="J65" s="645"/>
      <c r="K65" s="645"/>
      <c r="L65" s="645"/>
      <c r="M65" s="115"/>
    </row>
    <row r="66" spans="1:13" outlineLevel="1">
      <c r="A66" s="363"/>
      <c r="B66" s="365"/>
      <c r="C66" s="151" t="str">
        <f t="shared" si="1"/>
        <v/>
      </c>
      <c r="D66" s="115"/>
      <c r="E66" s="142"/>
      <c r="F66" s="142"/>
      <c r="G66" s="142"/>
      <c r="H66" s="142"/>
      <c r="I66" s="142"/>
      <c r="J66" s="142"/>
      <c r="K66" s="142"/>
      <c r="L66" s="142"/>
      <c r="M66" s="115"/>
    </row>
    <row r="67" spans="1:13" outlineLevel="1">
      <c r="A67" s="363"/>
      <c r="B67" s="365"/>
      <c r="C67" s="151"/>
      <c r="D67" s="114"/>
      <c r="E67" s="206"/>
      <c r="F67" s="206"/>
      <c r="G67" s="206"/>
      <c r="H67" s="206"/>
      <c r="I67" s="206"/>
      <c r="J67" s="206"/>
      <c r="K67" s="206"/>
      <c r="L67" s="206"/>
      <c r="M67" s="114"/>
    </row>
    <row r="68" spans="1:13" ht="28.8" thickBot="1">
      <c r="A68" s="363"/>
      <c r="B68" s="365"/>
      <c r="C68" s="151" t="str">
        <f t="shared" si="1"/>
        <v>Parc roulant</v>
      </c>
      <c r="D68" s="369"/>
      <c r="E68" s="370"/>
      <c r="F68" s="617" t="s">
        <v>338</v>
      </c>
      <c r="G68" s="617"/>
      <c r="H68" s="617"/>
      <c r="I68" s="617"/>
      <c r="J68" s="617"/>
      <c r="K68" s="617"/>
      <c r="L68" s="617"/>
      <c r="M68" s="617"/>
    </row>
    <row r="69" spans="1:13" ht="15" thickTop="1">
      <c r="A69" s="363"/>
      <c r="B69" s="365"/>
      <c r="C69" s="151" t="str">
        <f t="shared" si="1"/>
        <v/>
      </c>
      <c r="D69" s="203"/>
      <c r="E69" s="203"/>
      <c r="F69" s="203"/>
    </row>
    <row r="70" spans="1:13" outlineLevel="1">
      <c r="A70" s="363"/>
      <c r="B70" s="365"/>
      <c r="C70" s="151" t="str">
        <f t="shared" si="1"/>
        <v/>
      </c>
      <c r="D70" s="115"/>
      <c r="E70" s="115"/>
      <c r="F70" s="115"/>
      <c r="G70" s="115"/>
      <c r="H70" s="115"/>
      <c r="I70" s="115"/>
      <c r="J70" s="115"/>
      <c r="K70" s="115"/>
      <c r="L70" s="115"/>
      <c r="M70" s="115"/>
    </row>
    <row r="71" spans="1:13" outlineLevel="1">
      <c r="A71" s="363"/>
      <c r="B71" s="365"/>
      <c r="C71" s="151" t="str">
        <f t="shared" si="1"/>
        <v/>
      </c>
      <c r="D71" s="115"/>
      <c r="E71" s="142"/>
      <c r="F71" s="142"/>
      <c r="G71" s="142"/>
      <c r="H71" s="142"/>
      <c r="I71" s="142"/>
      <c r="J71" s="142"/>
      <c r="K71" s="142"/>
      <c r="L71" s="142"/>
      <c r="M71" s="115"/>
    </row>
    <row r="72" spans="1:13" ht="15" outlineLevel="1" thickBot="1">
      <c r="A72" s="363"/>
      <c r="B72" s="365"/>
      <c r="C72" s="151" t="str">
        <f t="shared" si="1"/>
        <v>Parc roulant des véhicules particuliers (%)</v>
      </c>
      <c r="D72" s="115"/>
      <c r="E72" s="615" t="s">
        <v>339</v>
      </c>
      <c r="F72" s="615"/>
      <c r="G72" s="615"/>
      <c r="H72" s="615"/>
      <c r="I72" s="615"/>
      <c r="J72" s="615"/>
      <c r="K72" s="615"/>
      <c r="L72" s="615"/>
      <c r="M72" s="115"/>
    </row>
    <row r="73" spans="1:13" outlineLevel="2">
      <c r="A73" s="363"/>
      <c r="B73" s="365"/>
      <c r="C73" s="151" t="str">
        <f t="shared" si="1"/>
        <v>%</v>
      </c>
      <c r="D73" s="115"/>
      <c r="E73" s="119" t="s">
        <v>121</v>
      </c>
      <c r="F73" s="130">
        <v>2021</v>
      </c>
      <c r="G73" s="130">
        <v>2025</v>
      </c>
      <c r="H73" s="130">
        <v>2030</v>
      </c>
      <c r="I73" s="130">
        <v>2035</v>
      </c>
      <c r="J73" s="130">
        <v>2040</v>
      </c>
      <c r="K73" s="130">
        <v>2045</v>
      </c>
      <c r="L73" s="131">
        <v>2050</v>
      </c>
      <c r="M73" s="115"/>
    </row>
    <row r="74" spans="1:13" outlineLevel="2">
      <c r="A74" s="363"/>
      <c r="B74" s="365"/>
      <c r="C74" s="151" t="str">
        <f t="shared" si="1"/>
        <v>Essence</v>
      </c>
      <c r="D74" s="115"/>
      <c r="E74" s="179" t="s">
        <v>327</v>
      </c>
      <c r="F74" s="180">
        <v>0.33</v>
      </c>
      <c r="G74" s="174">
        <v>0.46838589562646216</v>
      </c>
      <c r="H74" s="174">
        <v>0.54427994948294323</v>
      </c>
      <c r="I74" s="174">
        <v>0.48163786119358587</v>
      </c>
      <c r="J74" s="174">
        <v>0.30925465568151028</v>
      </c>
      <c r="K74" s="174">
        <v>0.16225669825665906</v>
      </c>
      <c r="L74" s="174">
        <v>9.2525630333775991E-2</v>
      </c>
      <c r="M74" s="115"/>
    </row>
    <row r="75" spans="1:13" outlineLevel="2">
      <c r="A75" s="363"/>
      <c r="B75" s="365"/>
      <c r="C75" s="151" t="str">
        <f t="shared" si="1"/>
        <v>Diesel</v>
      </c>
      <c r="D75" s="115"/>
      <c r="E75" s="179" t="s">
        <v>328</v>
      </c>
      <c r="F75" s="177">
        <v>0.66</v>
      </c>
      <c r="G75" s="174">
        <v>0.4765216253450556</v>
      </c>
      <c r="H75" s="174">
        <v>0.29009832133904462</v>
      </c>
      <c r="I75" s="174">
        <v>0.15321892088777905</v>
      </c>
      <c r="J75" s="174">
        <v>8.2206933788755862E-2</v>
      </c>
      <c r="K75" s="174">
        <v>4.3131527384681505E-2</v>
      </c>
      <c r="L75" s="174">
        <v>2.4595420721636653E-2</v>
      </c>
      <c r="M75" s="115"/>
    </row>
    <row r="76" spans="1:13" outlineLevel="2">
      <c r="A76" s="363"/>
      <c r="B76" s="365"/>
      <c r="C76" s="151" t="str">
        <f t="shared" si="1"/>
        <v>Electrique</v>
      </c>
      <c r="D76" s="115"/>
      <c r="E76" s="179" t="s">
        <v>329</v>
      </c>
      <c r="F76" s="177">
        <v>0.01</v>
      </c>
      <c r="G76" s="174">
        <v>3.6709877875065196E-2</v>
      </c>
      <c r="H76" s="174">
        <v>0.13174715123517725</v>
      </c>
      <c r="I76" s="174">
        <v>0.3250133098071849</v>
      </c>
      <c r="J76" s="174">
        <v>0.58294760350990105</v>
      </c>
      <c r="K76" s="174">
        <v>0.78455419325667097</v>
      </c>
      <c r="L76" s="174">
        <v>0.88076663694074142</v>
      </c>
      <c r="M76" s="115"/>
    </row>
    <row r="77" spans="1:13" outlineLevel="2">
      <c r="A77" s="363"/>
      <c r="B77" s="365"/>
      <c r="C77" s="151" t="str">
        <f t="shared" si="1"/>
        <v>Hybride rechargeable</v>
      </c>
      <c r="D77" s="115"/>
      <c r="E77" s="179" t="s">
        <v>330</v>
      </c>
      <c r="F77" s="177">
        <v>0.01</v>
      </c>
      <c r="G77" s="174">
        <v>1.8382601153417201E-2</v>
      </c>
      <c r="H77" s="174">
        <v>3.3874577942835028E-2</v>
      </c>
      <c r="I77" s="174">
        <v>4.0129908111450174E-2</v>
      </c>
      <c r="J77" s="174">
        <v>2.5590807019832861E-2</v>
      </c>
      <c r="K77" s="174">
        <v>1.0057581101988455E-2</v>
      </c>
      <c r="L77" s="174">
        <v>2.1123120038459477E-3</v>
      </c>
      <c r="M77" s="115"/>
    </row>
    <row r="78" spans="1:13" outlineLevel="2">
      <c r="A78" s="363"/>
      <c r="B78" s="365"/>
      <c r="C78" s="151" t="str">
        <f t="shared" si="1"/>
        <v>Hydrogène</v>
      </c>
      <c r="D78" s="115"/>
      <c r="E78" s="179" t="s">
        <v>196</v>
      </c>
      <c r="F78" s="177">
        <v>0</v>
      </c>
      <c r="G78" s="174">
        <f>0</f>
        <v>0</v>
      </c>
      <c r="H78" s="174">
        <f>0</f>
        <v>0</v>
      </c>
      <c r="I78" s="174">
        <f>0</f>
        <v>0</v>
      </c>
      <c r="J78" s="174">
        <f>0</f>
        <v>0</v>
      </c>
      <c r="K78" s="174">
        <f>0</f>
        <v>0</v>
      </c>
      <c r="L78" s="174">
        <f>0</f>
        <v>0</v>
      </c>
      <c r="M78" s="115"/>
    </row>
    <row r="79" spans="1:13" outlineLevel="2">
      <c r="A79" s="363"/>
      <c r="B79" s="365"/>
      <c r="C79" s="151" t="str">
        <f t="shared" si="1"/>
        <v xml:space="preserve"> Périmètre hexagone</v>
      </c>
      <c r="D79" s="115"/>
      <c r="E79" s="645" t="s">
        <v>967</v>
      </c>
      <c r="F79" s="645"/>
      <c r="G79" s="645"/>
      <c r="H79" s="645"/>
      <c r="I79" s="645"/>
      <c r="J79" s="645"/>
      <c r="K79" s="645"/>
      <c r="L79" s="645"/>
      <c r="M79" s="115"/>
    </row>
    <row r="80" spans="1:13" outlineLevel="1">
      <c r="A80" s="363"/>
      <c r="B80" s="365"/>
      <c r="C80" s="151" t="str">
        <f t="shared" si="1"/>
        <v/>
      </c>
      <c r="D80" s="115"/>
      <c r="E80" s="142"/>
      <c r="F80" s="142"/>
      <c r="G80" s="142"/>
      <c r="H80" s="142"/>
      <c r="I80" s="142"/>
      <c r="J80" s="142"/>
      <c r="K80" s="142"/>
      <c r="L80" s="142"/>
      <c r="M80" s="115"/>
    </row>
    <row r="81" spans="1:13" ht="15" outlineLevel="1" thickBot="1">
      <c r="A81" s="363"/>
      <c r="B81" s="365"/>
      <c r="C81" s="151" t="str">
        <f t="shared" si="1"/>
        <v>Parc roulant des véhicules utilitaires légers (%)</v>
      </c>
      <c r="D81" s="115"/>
      <c r="E81" s="615" t="s">
        <v>340</v>
      </c>
      <c r="F81" s="615"/>
      <c r="G81" s="615"/>
      <c r="H81" s="615"/>
      <c r="I81" s="615"/>
      <c r="J81" s="615"/>
      <c r="K81" s="615"/>
      <c r="L81" s="615"/>
      <c r="M81" s="115"/>
    </row>
    <row r="82" spans="1:13" outlineLevel="2">
      <c r="A82" s="363"/>
      <c r="B82" s="365"/>
      <c r="C82" s="151" t="str">
        <f t="shared" si="1"/>
        <v>%</v>
      </c>
      <c r="D82" s="115"/>
      <c r="E82" s="119" t="s">
        <v>121</v>
      </c>
      <c r="F82" s="130">
        <v>2021</v>
      </c>
      <c r="G82" s="130">
        <v>2025</v>
      </c>
      <c r="H82" s="130">
        <v>2030</v>
      </c>
      <c r="I82" s="130">
        <v>2035</v>
      </c>
      <c r="J82" s="130">
        <v>2040</v>
      </c>
      <c r="K82" s="130">
        <v>2045</v>
      </c>
      <c r="L82" s="131">
        <v>2050</v>
      </c>
      <c r="M82" s="115"/>
    </row>
    <row r="83" spans="1:13" outlineLevel="2">
      <c r="A83" s="363"/>
      <c r="B83" s="365"/>
      <c r="C83" s="151" t="str">
        <f t="shared" si="1"/>
        <v>Thermiques</v>
      </c>
      <c r="D83" s="115"/>
      <c r="E83" s="179" t="s">
        <v>326</v>
      </c>
      <c r="F83" s="177">
        <v>0.99</v>
      </c>
      <c r="G83" s="174">
        <v>0.97</v>
      </c>
      <c r="H83" s="174">
        <v>0.87</v>
      </c>
      <c r="I83" s="174">
        <v>0.64</v>
      </c>
      <c r="J83" s="174">
        <v>0.34</v>
      </c>
      <c r="K83" s="174">
        <v>0.14000000000000001</v>
      </c>
      <c r="L83" s="174">
        <v>7.0000000000000007E-2</v>
      </c>
      <c r="M83" s="115"/>
    </row>
    <row r="84" spans="1:13" outlineLevel="2">
      <c r="A84" s="363"/>
      <c r="B84" s="365"/>
      <c r="C84" s="151" t="str">
        <f t="shared" si="1"/>
        <v>Electrique</v>
      </c>
      <c r="D84" s="115"/>
      <c r="E84" s="179" t="s">
        <v>329</v>
      </c>
      <c r="F84" s="177">
        <v>0.01</v>
      </c>
      <c r="G84" s="174">
        <v>0.03</v>
      </c>
      <c r="H84" s="174">
        <v>0.13</v>
      </c>
      <c r="I84" s="174">
        <v>0.35</v>
      </c>
      <c r="J84" s="174">
        <v>0.64</v>
      </c>
      <c r="K84" s="174">
        <v>0.84</v>
      </c>
      <c r="L84" s="174">
        <v>0.9</v>
      </c>
      <c r="M84" s="115"/>
    </row>
    <row r="85" spans="1:13" outlineLevel="2">
      <c r="A85" s="363"/>
      <c r="B85" s="365"/>
      <c r="C85" s="151" t="str">
        <f t="shared" si="1"/>
        <v>Hydrogène</v>
      </c>
      <c r="D85" s="115"/>
      <c r="E85" s="179" t="s">
        <v>196</v>
      </c>
      <c r="F85" s="177">
        <v>0</v>
      </c>
      <c r="G85" s="174">
        <v>0</v>
      </c>
      <c r="H85" s="174">
        <v>0</v>
      </c>
      <c r="I85" s="174">
        <v>0.01</v>
      </c>
      <c r="J85" s="174">
        <v>0.01</v>
      </c>
      <c r="K85" s="174">
        <v>0.02</v>
      </c>
      <c r="L85" s="174">
        <v>0.03</v>
      </c>
      <c r="M85" s="115"/>
    </row>
    <row r="86" spans="1:13" outlineLevel="2">
      <c r="A86" s="363"/>
      <c r="B86" s="365"/>
      <c r="C86" s="151" t="str">
        <f t="shared" ref="C86:C103" si="2">IF(ISBLANK(E86),IF(ISBLANK(F86),"",F86),E86)</f>
        <v xml:space="preserve"> Périmètre hexagone</v>
      </c>
      <c r="D86" s="115"/>
      <c r="E86" s="645" t="s">
        <v>967</v>
      </c>
      <c r="F86" s="645"/>
      <c r="G86" s="645"/>
      <c r="H86" s="645"/>
      <c r="I86" s="645"/>
      <c r="J86" s="645"/>
      <c r="K86" s="645"/>
      <c r="L86" s="645"/>
      <c r="M86" s="115"/>
    </row>
    <row r="87" spans="1:13" outlineLevel="1">
      <c r="A87" s="363"/>
      <c r="B87" s="365"/>
      <c r="C87" s="151" t="str">
        <f t="shared" si="2"/>
        <v/>
      </c>
      <c r="D87" s="115"/>
      <c r="E87" s="142"/>
      <c r="F87" s="142"/>
      <c r="G87" s="142"/>
      <c r="H87" s="142"/>
      <c r="I87" s="142"/>
      <c r="J87" s="142"/>
      <c r="K87" s="142"/>
      <c r="L87" s="142"/>
      <c r="M87" s="115"/>
    </row>
    <row r="88" spans="1:13" ht="15" outlineLevel="1" thickBot="1">
      <c r="A88" s="363"/>
      <c r="B88" s="365"/>
      <c r="C88" s="151" t="str">
        <f t="shared" si="2"/>
        <v>Parc roulant des poids lourds (%)</v>
      </c>
      <c r="D88" s="115"/>
      <c r="E88" s="615" t="s">
        <v>341</v>
      </c>
      <c r="F88" s="615"/>
      <c r="G88" s="615"/>
      <c r="H88" s="615"/>
      <c r="I88" s="615"/>
      <c r="J88" s="615"/>
      <c r="K88" s="615"/>
      <c r="L88" s="615"/>
      <c r="M88" s="115"/>
    </row>
    <row r="89" spans="1:13" outlineLevel="2">
      <c r="A89" s="363"/>
      <c r="B89" s="365"/>
      <c r="C89" s="151" t="str">
        <f t="shared" si="2"/>
        <v>%</v>
      </c>
      <c r="D89" s="115"/>
      <c r="E89" s="119" t="s">
        <v>121</v>
      </c>
      <c r="F89" s="130">
        <v>2021</v>
      </c>
      <c r="G89" s="130">
        <v>2025</v>
      </c>
      <c r="H89" s="130">
        <v>2030</v>
      </c>
      <c r="I89" s="130">
        <v>2035</v>
      </c>
      <c r="J89" s="130">
        <v>2040</v>
      </c>
      <c r="K89" s="130">
        <v>2045</v>
      </c>
      <c r="L89" s="131">
        <v>2050</v>
      </c>
      <c r="M89" s="115"/>
    </row>
    <row r="90" spans="1:13" outlineLevel="2">
      <c r="A90" s="363"/>
      <c r="B90" s="365"/>
      <c r="C90" s="151" t="str">
        <f t="shared" si="2"/>
        <v>Diesel</v>
      </c>
      <c r="D90" s="115"/>
      <c r="E90" s="179" t="s">
        <v>328</v>
      </c>
      <c r="F90" s="177">
        <v>0.99</v>
      </c>
      <c r="G90" s="174">
        <v>0.96</v>
      </c>
      <c r="H90" s="174">
        <v>0.89</v>
      </c>
      <c r="I90" s="174">
        <v>0.81</v>
      </c>
      <c r="J90" s="174">
        <v>0.76</v>
      </c>
      <c r="K90" s="174">
        <v>0.75</v>
      </c>
      <c r="L90" s="174">
        <v>0.75</v>
      </c>
      <c r="M90" s="115"/>
    </row>
    <row r="91" spans="1:13" outlineLevel="2">
      <c r="A91" s="363"/>
      <c r="B91" s="365"/>
      <c r="C91" s="151" t="str">
        <f t="shared" si="2"/>
        <v>GNV</v>
      </c>
      <c r="D91" s="115"/>
      <c r="E91" s="179" t="s">
        <v>335</v>
      </c>
      <c r="F91" s="177">
        <v>0.01</v>
      </c>
      <c r="G91" s="174">
        <v>0.02</v>
      </c>
      <c r="H91" s="174">
        <v>0.04</v>
      </c>
      <c r="I91" s="174">
        <v>0.04</v>
      </c>
      <c r="J91" s="174">
        <v>0.04</v>
      </c>
      <c r="K91" s="174">
        <v>0.04</v>
      </c>
      <c r="L91" s="174">
        <v>0.04</v>
      </c>
      <c r="M91" s="115"/>
    </row>
    <row r="92" spans="1:13" outlineLevel="2">
      <c r="A92" s="363"/>
      <c r="B92" s="365"/>
      <c r="C92" s="151" t="str">
        <f t="shared" si="2"/>
        <v>Electrique</v>
      </c>
      <c r="D92" s="115"/>
      <c r="E92" s="179" t="s">
        <v>329</v>
      </c>
      <c r="F92" s="177">
        <v>0</v>
      </c>
      <c r="G92" s="174">
        <v>0.01</v>
      </c>
      <c r="H92" s="174">
        <v>7.0000000000000007E-2</v>
      </c>
      <c r="I92" s="174">
        <v>0.15</v>
      </c>
      <c r="J92" s="174">
        <v>0.19</v>
      </c>
      <c r="K92" s="174">
        <v>0.19</v>
      </c>
      <c r="L92" s="174">
        <v>0.19</v>
      </c>
      <c r="M92" s="115"/>
    </row>
    <row r="93" spans="1:13" outlineLevel="2">
      <c r="A93" s="363"/>
      <c r="B93" s="365"/>
      <c r="C93" s="151" t="str">
        <f t="shared" si="2"/>
        <v>Hydrogène</v>
      </c>
      <c r="D93" s="115"/>
      <c r="E93" s="179" t="s">
        <v>196</v>
      </c>
      <c r="F93" s="177">
        <v>0</v>
      </c>
      <c r="G93" s="174">
        <v>0</v>
      </c>
      <c r="H93" s="174">
        <v>0</v>
      </c>
      <c r="I93" s="174">
        <v>0.01</v>
      </c>
      <c r="J93" s="174">
        <v>0.01</v>
      </c>
      <c r="K93" s="174">
        <v>0.01</v>
      </c>
      <c r="L93" s="174">
        <v>0.01</v>
      </c>
      <c r="M93" s="115"/>
    </row>
    <row r="94" spans="1:13" outlineLevel="2">
      <c r="A94" s="363"/>
      <c r="B94" s="365"/>
      <c r="C94" s="151" t="str">
        <f t="shared" si="2"/>
        <v xml:space="preserve"> Périmètre hexagone</v>
      </c>
      <c r="D94" s="115"/>
      <c r="E94" s="645" t="s">
        <v>967</v>
      </c>
      <c r="F94" s="645"/>
      <c r="G94" s="645"/>
      <c r="H94" s="645"/>
      <c r="I94" s="645"/>
      <c r="J94" s="645"/>
      <c r="K94" s="645"/>
      <c r="L94" s="645"/>
      <c r="M94" s="115"/>
    </row>
    <row r="95" spans="1:13" outlineLevel="1">
      <c r="A95" s="363"/>
      <c r="B95" s="365"/>
      <c r="C95" s="151" t="str">
        <f t="shared" si="2"/>
        <v/>
      </c>
      <c r="D95" s="115"/>
      <c r="E95" s="142"/>
      <c r="F95" s="142"/>
      <c r="G95" s="142"/>
      <c r="H95" s="142"/>
      <c r="I95" s="142"/>
      <c r="J95" s="142"/>
      <c r="K95" s="142"/>
      <c r="L95" s="142"/>
      <c r="M95" s="115"/>
    </row>
    <row r="96" spans="1:13" ht="15" outlineLevel="1" thickBot="1">
      <c r="A96" s="363"/>
      <c r="B96" s="365"/>
      <c r="C96" s="151" t="str">
        <f t="shared" si="2"/>
        <v>Parc roulant des bus et cars (%)</v>
      </c>
      <c r="D96" s="115"/>
      <c r="E96" s="615" t="s">
        <v>343</v>
      </c>
      <c r="F96" s="615"/>
      <c r="G96" s="615"/>
      <c r="H96" s="615"/>
      <c r="I96" s="615"/>
      <c r="J96" s="615"/>
      <c r="K96" s="615"/>
      <c r="L96" s="615"/>
      <c r="M96" s="115"/>
    </row>
    <row r="97" spans="1:13" outlineLevel="2">
      <c r="A97" s="363"/>
      <c r="B97" s="365"/>
      <c r="C97" s="151" t="str">
        <f t="shared" si="2"/>
        <v>%</v>
      </c>
      <c r="D97" s="115"/>
      <c r="E97" s="119" t="s">
        <v>121</v>
      </c>
      <c r="F97" s="130">
        <v>2021</v>
      </c>
      <c r="G97" s="130">
        <v>2025</v>
      </c>
      <c r="H97" s="130">
        <v>2030</v>
      </c>
      <c r="I97" s="130">
        <v>2035</v>
      </c>
      <c r="J97" s="130">
        <v>2040</v>
      </c>
      <c r="K97" s="130">
        <v>2045</v>
      </c>
      <c r="L97" s="131">
        <v>2050</v>
      </c>
      <c r="M97" s="115"/>
    </row>
    <row r="98" spans="1:13" outlineLevel="2">
      <c r="A98" s="363"/>
      <c r="B98" s="365"/>
      <c r="C98" s="151" t="str">
        <f t="shared" si="2"/>
        <v>Gazole</v>
      </c>
      <c r="D98" s="115"/>
      <c r="E98" s="179" t="s">
        <v>337</v>
      </c>
      <c r="F98" s="177">
        <f t="shared" ref="F98" si="3">1-F99-F100-F101</f>
        <v>0.93617021276595747</v>
      </c>
      <c r="G98" s="174">
        <f t="shared" ref="G98:L98" si="4">1-G99-G100-G101</f>
        <v>0.85</v>
      </c>
      <c r="H98" s="174">
        <f t="shared" si="4"/>
        <v>0.75</v>
      </c>
      <c r="I98" s="174">
        <f t="shared" si="4"/>
        <v>0.17170000000000002</v>
      </c>
      <c r="J98" s="174">
        <f t="shared" si="4"/>
        <v>6.6999999999999282E-3</v>
      </c>
      <c r="K98" s="174">
        <f t="shared" si="4"/>
        <v>1.3299999999999867E-2</v>
      </c>
      <c r="L98" s="174">
        <f t="shared" si="4"/>
        <v>1.9999999999999796E-2</v>
      </c>
      <c r="M98" s="115"/>
    </row>
    <row r="99" spans="1:13" outlineLevel="2">
      <c r="A99" s="363"/>
      <c r="B99" s="365"/>
      <c r="C99" s="151" t="str">
        <f t="shared" si="2"/>
        <v>GNV</v>
      </c>
      <c r="D99" s="115"/>
      <c r="E99" s="179" t="s">
        <v>335</v>
      </c>
      <c r="F99" s="177">
        <v>5.3191489361702128E-2</v>
      </c>
      <c r="G99" s="174">
        <v>0.1</v>
      </c>
      <c r="H99" s="174">
        <v>0.15</v>
      </c>
      <c r="I99" s="174">
        <f>0.17*D83+0.33*G83+0.33*H83+0.17*I83</f>
        <v>0.71599999999999997</v>
      </c>
      <c r="J99" s="174">
        <f t="shared" ref="J99:L100" si="5">0.17*G83+0.33*H83+0.33*I83+0.17*J83</f>
        <v>0.72100000000000009</v>
      </c>
      <c r="K99" s="174">
        <f t="shared" si="5"/>
        <v>0.49510000000000004</v>
      </c>
      <c r="L99" s="174">
        <f t="shared" si="5"/>
        <v>0.27910000000000007</v>
      </c>
      <c r="M99" s="115"/>
    </row>
    <row r="100" spans="1:13" outlineLevel="2">
      <c r="A100" s="363"/>
      <c r="B100" s="365"/>
      <c r="C100" s="151" t="str">
        <f t="shared" si="2"/>
        <v>Electrique</v>
      </c>
      <c r="D100" s="115"/>
      <c r="E100" s="179" t="s">
        <v>329</v>
      </c>
      <c r="F100" s="177">
        <v>1.0638297872340425E-2</v>
      </c>
      <c r="G100" s="174">
        <v>0.05</v>
      </c>
      <c r="H100" s="174">
        <v>0.1</v>
      </c>
      <c r="I100" s="174">
        <f>0.17*D84+0.33*G84+0.33*H84+0.17*I84</f>
        <v>0.1123</v>
      </c>
      <c r="J100" s="174">
        <f t="shared" si="5"/>
        <v>0.27229999999999999</v>
      </c>
      <c r="K100" s="174">
        <f t="shared" si="5"/>
        <v>0.49160000000000004</v>
      </c>
      <c r="L100" s="174">
        <f t="shared" si="5"/>
        <v>0.70090000000000008</v>
      </c>
      <c r="M100" s="115"/>
    </row>
    <row r="101" spans="1:13" outlineLevel="2">
      <c r="A101" s="363"/>
      <c r="B101" s="365"/>
      <c r="C101" s="151" t="str">
        <f t="shared" si="2"/>
        <v>Hydrogene</v>
      </c>
      <c r="D101" s="115"/>
      <c r="E101" s="179" t="s">
        <v>342</v>
      </c>
      <c r="F101" s="177">
        <f>0</f>
        <v>0</v>
      </c>
      <c r="G101" s="174">
        <f>0</f>
        <v>0</v>
      </c>
      <c r="H101" s="174">
        <f>0</f>
        <v>0</v>
      </c>
      <c r="I101" s="174">
        <f>0</f>
        <v>0</v>
      </c>
      <c r="J101" s="174">
        <f>0</f>
        <v>0</v>
      </c>
      <c r="K101" s="174">
        <f>0</f>
        <v>0</v>
      </c>
      <c r="L101" s="174">
        <f>0</f>
        <v>0</v>
      </c>
      <c r="M101" s="115"/>
    </row>
    <row r="102" spans="1:13" outlineLevel="2">
      <c r="A102" s="363"/>
      <c r="B102" s="365"/>
      <c r="C102" s="151" t="str">
        <f t="shared" si="2"/>
        <v xml:space="preserve"> Périmètre hexagone</v>
      </c>
      <c r="D102" s="115"/>
      <c r="E102" s="645" t="s">
        <v>967</v>
      </c>
      <c r="F102" s="645"/>
      <c r="G102" s="645"/>
      <c r="H102" s="645"/>
      <c r="I102" s="645"/>
      <c r="J102" s="645"/>
      <c r="K102" s="645"/>
      <c r="L102" s="645"/>
      <c r="M102" s="115"/>
    </row>
    <row r="103" spans="1:13" outlineLevel="1">
      <c r="A103" s="363"/>
      <c r="B103" s="365"/>
      <c r="C103" s="151" t="str">
        <f t="shared" si="2"/>
        <v/>
      </c>
      <c r="D103" s="115"/>
      <c r="E103" s="142"/>
      <c r="F103" s="142"/>
      <c r="G103" s="142"/>
      <c r="H103" s="142"/>
      <c r="I103" s="142"/>
      <c r="J103" s="142"/>
      <c r="K103" s="142"/>
      <c r="L103" s="142"/>
      <c r="M103" s="115"/>
    </row>
    <row r="104" spans="1:13" ht="28.8" thickBot="1">
      <c r="A104" s="363"/>
      <c r="B104" s="365"/>
      <c r="C104" s="151" t="str">
        <f t="shared" ref="C104:C201" si="6">IF(ISBLANK(E104),IF(ISBLANK(F104),"",F104),E104)</f>
        <v>Consommations</v>
      </c>
      <c r="D104" s="369"/>
      <c r="E104" s="370"/>
      <c r="F104" s="617" t="s">
        <v>847</v>
      </c>
      <c r="G104" s="617"/>
      <c r="H104" s="617"/>
      <c r="I104" s="617"/>
      <c r="J104" s="617"/>
      <c r="K104" s="617"/>
      <c r="L104" s="617"/>
      <c r="M104" s="617"/>
    </row>
    <row r="105" spans="1:13" ht="15" thickTop="1">
      <c r="A105" s="363"/>
      <c r="B105" s="365"/>
      <c r="C105" s="151" t="str">
        <f t="shared" si="6"/>
        <v/>
      </c>
      <c r="D105" s="203"/>
      <c r="E105" s="203"/>
      <c r="F105" s="203"/>
    </row>
    <row r="106" spans="1:13" outlineLevel="1">
      <c r="A106" s="363"/>
      <c r="B106" s="365"/>
      <c r="C106" s="151" t="str">
        <f t="shared" si="6"/>
        <v/>
      </c>
      <c r="D106" s="115"/>
      <c r="E106" s="115"/>
      <c r="F106" s="115"/>
      <c r="G106" s="115"/>
      <c r="H106" s="115"/>
      <c r="I106" s="115"/>
      <c r="J106" s="115"/>
      <c r="K106" s="115"/>
      <c r="L106" s="115"/>
      <c r="M106" s="115"/>
    </row>
    <row r="107" spans="1:13" ht="14.4" customHeight="1" outlineLevel="1">
      <c r="A107" s="363"/>
      <c r="B107" s="365"/>
      <c r="C107" s="151"/>
      <c r="D107" s="115"/>
      <c r="E107" s="209"/>
      <c r="F107" s="209"/>
      <c r="G107" s="209"/>
      <c r="H107" s="209"/>
      <c r="I107" s="209"/>
      <c r="J107" s="209"/>
      <c r="K107" s="209"/>
      <c r="L107" s="209"/>
      <c r="M107" s="115"/>
    </row>
    <row r="108" spans="1:13" ht="14.4" customHeight="1" outlineLevel="1" thickBot="1">
      <c r="A108" s="363"/>
      <c r="B108" s="365"/>
      <c r="C108" s="151"/>
      <c r="D108" s="115"/>
      <c r="E108" s="615" t="s">
        <v>453</v>
      </c>
      <c r="F108" s="615"/>
      <c r="G108" s="615"/>
      <c r="H108" s="615"/>
      <c r="I108" s="615"/>
      <c r="J108" s="615"/>
      <c r="K108" s="615"/>
      <c r="L108" s="615"/>
      <c r="M108" s="115"/>
    </row>
    <row r="109" spans="1:13" ht="14.4" customHeight="1" outlineLevel="2">
      <c r="A109" s="363"/>
      <c r="B109" s="365"/>
      <c r="C109" s="151"/>
      <c r="D109" s="115"/>
      <c r="E109" s="119"/>
      <c r="F109" s="130">
        <v>2021</v>
      </c>
      <c r="G109" s="130">
        <v>2025</v>
      </c>
      <c r="H109" s="130">
        <v>2030</v>
      </c>
      <c r="I109" s="130">
        <v>2035</v>
      </c>
      <c r="J109" s="130">
        <v>2040</v>
      </c>
      <c r="K109" s="130">
        <v>2045</v>
      </c>
      <c r="L109" s="131">
        <v>2050</v>
      </c>
      <c r="M109" s="115"/>
    </row>
    <row r="110" spans="1:13" ht="14.4" customHeight="1" outlineLevel="2">
      <c r="A110" s="363"/>
      <c r="B110" s="365"/>
      <c r="C110" s="151"/>
      <c r="D110" s="115"/>
      <c r="E110" s="122" t="s">
        <v>345</v>
      </c>
      <c r="F110" s="210">
        <v>6</v>
      </c>
      <c r="G110" s="211">
        <v>5.7</v>
      </c>
      <c r="H110" s="211">
        <v>5.5</v>
      </c>
      <c r="I110" s="211" t="s">
        <v>452</v>
      </c>
      <c r="J110" s="211" t="s">
        <v>452</v>
      </c>
      <c r="K110" s="211" t="s">
        <v>452</v>
      </c>
      <c r="L110" s="211" t="s">
        <v>452</v>
      </c>
      <c r="M110" s="115"/>
    </row>
    <row r="111" spans="1:13" ht="14.4" customHeight="1" outlineLevel="2">
      <c r="A111" s="363"/>
      <c r="B111" s="365"/>
      <c r="C111" s="151"/>
      <c r="D111" s="115"/>
      <c r="E111" s="122" t="s">
        <v>346</v>
      </c>
      <c r="F111" s="210">
        <v>5.35</v>
      </c>
      <c r="G111" s="211">
        <v>5</v>
      </c>
      <c r="H111" s="211">
        <v>4.9000000000000004</v>
      </c>
      <c r="I111" s="211" t="s">
        <v>452</v>
      </c>
      <c r="J111" s="211" t="s">
        <v>452</v>
      </c>
      <c r="K111" s="211" t="s">
        <v>452</v>
      </c>
      <c r="L111" s="211" t="s">
        <v>452</v>
      </c>
      <c r="M111" s="115"/>
    </row>
    <row r="112" spans="1:13" ht="14.4" customHeight="1" outlineLevel="2" thickBot="1">
      <c r="A112" s="363"/>
      <c r="B112" s="365"/>
      <c r="C112" s="151"/>
      <c r="D112" s="115"/>
      <c r="E112" s="122" t="s">
        <v>456</v>
      </c>
      <c r="F112" s="210">
        <v>17.399999999999999</v>
      </c>
      <c r="G112" s="211">
        <v>16.899999999999999</v>
      </c>
      <c r="H112" s="211">
        <v>16.5</v>
      </c>
      <c r="I112" s="211">
        <v>16.399999999999999</v>
      </c>
      <c r="J112" s="211">
        <v>16.3</v>
      </c>
      <c r="K112" s="211">
        <v>16.2</v>
      </c>
      <c r="L112" s="211">
        <v>16.100000000000001</v>
      </c>
      <c r="M112" s="115"/>
    </row>
    <row r="113" spans="1:13" ht="14.4" customHeight="1" outlineLevel="2">
      <c r="A113" s="363"/>
      <c r="B113" s="365"/>
      <c r="C113" s="151"/>
      <c r="D113" s="115"/>
      <c r="E113" s="616" t="s">
        <v>846</v>
      </c>
      <c r="F113" s="616"/>
      <c r="G113" s="616"/>
      <c r="H113" s="616"/>
      <c r="I113" s="616"/>
      <c r="J113" s="616"/>
      <c r="K113" s="616"/>
      <c r="L113" s="616"/>
      <c r="M113" s="115"/>
    </row>
    <row r="114" spans="1:13" outlineLevel="1">
      <c r="A114" s="363"/>
      <c r="B114" s="365"/>
      <c r="C114" s="151" t="str">
        <f t="shared" si="6"/>
        <v/>
      </c>
      <c r="D114" s="115"/>
      <c r="E114" s="142"/>
      <c r="F114" s="142"/>
      <c r="G114" s="142"/>
      <c r="H114" s="142"/>
      <c r="I114" s="142"/>
      <c r="J114" s="142"/>
      <c r="K114" s="142"/>
      <c r="L114" s="142"/>
      <c r="M114" s="115"/>
    </row>
    <row r="115" spans="1:13" ht="15" outlineLevel="1" thickBot="1">
      <c r="A115" s="363"/>
      <c r="B115" s="365"/>
      <c r="C115" s="151" t="str">
        <f t="shared" si="6"/>
        <v xml:space="preserve">Consommation moyenne réelle du parc roulant de véhicules particuliers </v>
      </c>
      <c r="D115" s="115"/>
      <c r="E115" s="615" t="s">
        <v>347</v>
      </c>
      <c r="F115" s="615"/>
      <c r="G115" s="615"/>
      <c r="H115" s="615"/>
      <c r="I115" s="615"/>
      <c r="J115" s="615"/>
      <c r="K115" s="615"/>
      <c r="L115" s="615"/>
      <c r="M115" s="115"/>
    </row>
    <row r="116" spans="1:13" outlineLevel="2">
      <c r="A116" s="363"/>
      <c r="B116" s="365"/>
      <c r="C116" s="151">
        <f t="shared" si="6"/>
        <v>2021</v>
      </c>
      <c r="D116" s="115"/>
      <c r="E116" s="119"/>
      <c r="F116" s="130">
        <v>2021</v>
      </c>
      <c r="G116" s="130">
        <v>2025</v>
      </c>
      <c r="H116" s="130">
        <v>2030</v>
      </c>
      <c r="I116" s="130">
        <v>2035</v>
      </c>
      <c r="J116" s="130">
        <v>2040</v>
      </c>
      <c r="K116" s="130">
        <v>2045</v>
      </c>
      <c r="L116" s="131">
        <v>2050</v>
      </c>
      <c r="M116" s="115"/>
    </row>
    <row r="117" spans="1:13" outlineLevel="2">
      <c r="A117" s="363"/>
      <c r="B117" s="365"/>
      <c r="C117" s="151" t="str">
        <f t="shared" si="6"/>
        <v>Essence (L / 100 km)</v>
      </c>
      <c r="D117" s="115"/>
      <c r="E117" s="122" t="s">
        <v>345</v>
      </c>
      <c r="F117" s="210">
        <v>6.8</v>
      </c>
      <c r="G117" s="211">
        <v>6.4337885710201448</v>
      </c>
      <c r="H117" s="211">
        <v>6.0414071420402893</v>
      </c>
      <c r="I117" s="211">
        <v>5.9032173160160673</v>
      </c>
      <c r="J117" s="211">
        <v>5.7113863175833304</v>
      </c>
      <c r="K117" s="211">
        <v>5.622614262013478</v>
      </c>
      <c r="L117" s="211">
        <v>5.6</v>
      </c>
      <c r="M117" s="115"/>
    </row>
    <row r="118" spans="1:13" outlineLevel="2">
      <c r="A118" s="363"/>
      <c r="B118" s="365"/>
      <c r="C118" s="151" t="str">
        <f t="shared" si="6"/>
        <v>Diesel (L / 100 km)</v>
      </c>
      <c r="D118" s="115"/>
      <c r="E118" s="122" t="s">
        <v>346</v>
      </c>
      <c r="F118" s="210">
        <v>5.9</v>
      </c>
      <c r="G118" s="211">
        <v>5.8067644894720267</v>
      </c>
      <c r="H118" s="211">
        <v>5.6731969789440546</v>
      </c>
      <c r="I118" s="211">
        <v>5.4437760106913862</v>
      </c>
      <c r="J118" s="211">
        <v>5.35</v>
      </c>
      <c r="K118" s="211">
        <v>5.3500000000000005</v>
      </c>
      <c r="L118" s="211">
        <v>5.35</v>
      </c>
      <c r="M118" s="115"/>
    </row>
    <row r="119" spans="1:13" ht="15" outlineLevel="2" thickBot="1">
      <c r="A119" s="363"/>
      <c r="B119" s="365"/>
      <c r="C119" s="151" t="str">
        <f t="shared" si="6"/>
        <v>Véhicules électriques (kWh / 100 km)</v>
      </c>
      <c r="D119" s="115"/>
      <c r="E119" s="122" t="s">
        <v>456</v>
      </c>
      <c r="F119" s="210">
        <v>17.5</v>
      </c>
      <c r="G119" s="211">
        <v>17.126173648324922</v>
      </c>
      <c r="H119" s="211">
        <v>16.783234718127567</v>
      </c>
      <c r="I119" s="211">
        <v>16.569898401830962</v>
      </c>
      <c r="J119" s="211">
        <v>16.444408326871901</v>
      </c>
      <c r="K119" s="211">
        <v>16.342496220481063</v>
      </c>
      <c r="L119" s="211">
        <v>16.258755318925935</v>
      </c>
      <c r="M119" s="115"/>
    </row>
    <row r="120" spans="1:13" outlineLevel="2">
      <c r="A120" s="363"/>
      <c r="B120" s="365"/>
      <c r="C120" s="151" t="str">
        <f t="shared" si="6"/>
        <v/>
      </c>
      <c r="D120" s="115"/>
      <c r="E120" s="616"/>
      <c r="F120" s="616"/>
      <c r="G120" s="616"/>
      <c r="H120" s="616"/>
      <c r="I120" s="616"/>
      <c r="J120" s="616"/>
      <c r="K120" s="616"/>
      <c r="L120" s="616"/>
      <c r="M120" s="115"/>
    </row>
    <row r="121" spans="1:13" outlineLevel="2">
      <c r="A121" s="363"/>
      <c r="B121" s="365"/>
      <c r="C121" s="151"/>
      <c r="D121" s="115"/>
      <c r="E121" s="142"/>
      <c r="F121" s="142"/>
      <c r="G121" s="142"/>
      <c r="H121" s="142"/>
      <c r="I121" s="142"/>
      <c r="J121" s="142"/>
      <c r="K121" s="142"/>
      <c r="L121" s="142"/>
      <c r="M121" s="115"/>
    </row>
    <row r="122" spans="1:13" ht="15" outlineLevel="1" thickBot="1">
      <c r="A122" s="363"/>
      <c r="B122" s="365"/>
      <c r="C122" s="151" t="str">
        <f t="shared" si="6"/>
        <v>Consommation moyenne réelle des véhicules utilitaires légers neufs</v>
      </c>
      <c r="D122" s="115"/>
      <c r="E122" s="615" t="s">
        <v>454</v>
      </c>
      <c r="F122" s="615"/>
      <c r="G122" s="615"/>
      <c r="H122" s="615"/>
      <c r="I122" s="615"/>
      <c r="J122" s="615"/>
      <c r="K122" s="615"/>
      <c r="L122" s="615"/>
      <c r="M122" s="115"/>
    </row>
    <row r="123" spans="1:13" outlineLevel="2">
      <c r="A123" s="363"/>
      <c r="B123" s="365"/>
      <c r="C123" s="151"/>
      <c r="D123" s="115"/>
      <c r="E123" s="119"/>
      <c r="F123" s="130">
        <v>2021</v>
      </c>
      <c r="G123" s="130">
        <v>2025</v>
      </c>
      <c r="H123" s="130">
        <v>2030</v>
      </c>
      <c r="I123" s="130">
        <v>2035</v>
      </c>
      <c r="J123" s="130">
        <v>2040</v>
      </c>
      <c r="K123" s="130">
        <v>2045</v>
      </c>
      <c r="L123" s="131">
        <v>2050</v>
      </c>
      <c r="M123" s="115"/>
    </row>
    <row r="124" spans="1:13" outlineLevel="2">
      <c r="A124" s="363"/>
      <c r="B124" s="365"/>
      <c r="C124" s="151"/>
      <c r="D124" s="115"/>
      <c r="E124" s="122" t="s">
        <v>457</v>
      </c>
      <c r="F124" s="210">
        <v>7</v>
      </c>
      <c r="G124" s="211">
        <v>6.8</v>
      </c>
      <c r="H124" s="211">
        <v>6.7</v>
      </c>
      <c r="I124" s="211" t="s">
        <v>992</v>
      </c>
      <c r="J124" s="211" t="s">
        <v>992</v>
      </c>
      <c r="K124" s="211" t="s">
        <v>992</v>
      </c>
      <c r="L124" s="211" t="s">
        <v>992</v>
      </c>
      <c r="M124" s="115"/>
    </row>
    <row r="125" spans="1:13" outlineLevel="2">
      <c r="A125" s="363"/>
      <c r="B125" s="365"/>
      <c r="C125" s="151"/>
      <c r="D125" s="115"/>
      <c r="E125" s="122" t="s">
        <v>458</v>
      </c>
      <c r="F125" s="210">
        <v>30</v>
      </c>
      <c r="G125" s="211">
        <v>28.8</v>
      </c>
      <c r="H125" s="211">
        <v>27.6</v>
      </c>
      <c r="I125" s="211">
        <v>27.6</v>
      </c>
      <c r="J125" s="211">
        <v>27.6</v>
      </c>
      <c r="K125" s="211">
        <v>27.6</v>
      </c>
      <c r="L125" s="211">
        <v>27.6</v>
      </c>
      <c r="M125" s="115"/>
    </row>
    <row r="126" spans="1:13" ht="15" outlineLevel="2" thickBot="1">
      <c r="A126" s="363"/>
      <c r="B126" s="365"/>
      <c r="C126" s="151"/>
      <c r="D126" s="115"/>
      <c r="E126" s="122" t="s">
        <v>459</v>
      </c>
      <c r="F126" s="210">
        <v>1.6</v>
      </c>
      <c r="G126" s="211">
        <v>1.5</v>
      </c>
      <c r="H126" s="211">
        <v>1.4</v>
      </c>
      <c r="I126" s="211">
        <v>1.4</v>
      </c>
      <c r="J126" s="211">
        <v>1.4</v>
      </c>
      <c r="K126" s="211">
        <v>1.4</v>
      </c>
      <c r="L126" s="211">
        <v>1.4</v>
      </c>
      <c r="M126" s="115"/>
    </row>
    <row r="127" spans="1:13" outlineLevel="2">
      <c r="A127" s="363"/>
      <c r="B127" s="365"/>
      <c r="C127" s="151"/>
      <c r="D127" s="115"/>
      <c r="E127" s="616" t="s">
        <v>846</v>
      </c>
      <c r="F127" s="616"/>
      <c r="G127" s="616"/>
      <c r="H127" s="616"/>
      <c r="I127" s="616"/>
      <c r="J127" s="616"/>
      <c r="K127" s="616"/>
      <c r="L127" s="616"/>
      <c r="M127" s="115"/>
    </row>
    <row r="128" spans="1:13" outlineLevel="1">
      <c r="A128" s="363"/>
      <c r="B128" s="365"/>
      <c r="C128" s="151"/>
      <c r="D128" s="115"/>
      <c r="E128" s="142"/>
      <c r="F128" s="142"/>
      <c r="G128" s="142"/>
      <c r="H128" s="142"/>
      <c r="I128" s="142"/>
      <c r="J128" s="142"/>
      <c r="K128" s="142"/>
      <c r="L128" s="142"/>
      <c r="M128" s="115"/>
    </row>
    <row r="129" spans="1:13" ht="15" outlineLevel="1" thickBot="1">
      <c r="A129" s="363"/>
      <c r="B129" s="365"/>
      <c r="C129" s="151"/>
      <c r="D129" s="115"/>
      <c r="E129" s="615" t="s">
        <v>455</v>
      </c>
      <c r="F129" s="615"/>
      <c r="G129" s="615"/>
      <c r="H129" s="615"/>
      <c r="I129" s="615"/>
      <c r="J129" s="615"/>
      <c r="K129" s="615"/>
      <c r="L129" s="615"/>
      <c r="M129" s="115"/>
    </row>
    <row r="130" spans="1:13" outlineLevel="2">
      <c r="A130" s="363"/>
      <c r="B130" s="365"/>
      <c r="C130" s="151"/>
      <c r="D130" s="115"/>
      <c r="E130" s="119" t="s">
        <v>344</v>
      </c>
      <c r="F130" s="130">
        <v>2021</v>
      </c>
      <c r="G130" s="130">
        <v>2025</v>
      </c>
      <c r="H130" s="130">
        <v>2030</v>
      </c>
      <c r="I130" s="130">
        <v>2035</v>
      </c>
      <c r="J130" s="130">
        <v>2040</v>
      </c>
      <c r="K130" s="130">
        <v>2045</v>
      </c>
      <c r="L130" s="131">
        <v>2050</v>
      </c>
      <c r="M130" s="115"/>
    </row>
    <row r="131" spans="1:13" outlineLevel="2">
      <c r="A131" s="363"/>
      <c r="B131" s="365"/>
      <c r="C131" s="151"/>
      <c r="D131" s="115"/>
      <c r="E131" s="122" t="s">
        <v>457</v>
      </c>
      <c r="F131" s="210">
        <v>7.8</v>
      </c>
      <c r="G131" s="211">
        <v>7.4</v>
      </c>
      <c r="H131" s="211">
        <v>7</v>
      </c>
      <c r="I131" s="211">
        <v>6.8</v>
      </c>
      <c r="J131" s="211">
        <v>6.7</v>
      </c>
      <c r="K131" s="211">
        <v>6.5</v>
      </c>
      <c r="L131" s="211">
        <v>6.5</v>
      </c>
      <c r="M131" s="115"/>
    </row>
    <row r="132" spans="1:13" outlineLevel="2">
      <c r="A132" s="363"/>
      <c r="B132" s="365"/>
      <c r="C132" s="151"/>
      <c r="D132" s="115"/>
      <c r="E132" s="122" t="s">
        <v>458</v>
      </c>
      <c r="F132" s="210">
        <v>35</v>
      </c>
      <c r="G132" s="211">
        <v>30.1</v>
      </c>
      <c r="H132" s="211">
        <v>28.5</v>
      </c>
      <c r="I132" s="211">
        <v>27.9</v>
      </c>
      <c r="J132" s="211">
        <v>27.7</v>
      </c>
      <c r="K132" s="211">
        <v>27.6</v>
      </c>
      <c r="L132" s="211">
        <v>27.6</v>
      </c>
      <c r="M132" s="115"/>
    </row>
    <row r="133" spans="1:13" outlineLevel="2">
      <c r="A133" s="363"/>
      <c r="B133" s="365"/>
      <c r="C133" s="151"/>
      <c r="D133" s="115"/>
      <c r="E133" s="122" t="s">
        <v>459</v>
      </c>
      <c r="F133" s="210">
        <v>1.6</v>
      </c>
      <c r="G133" s="211">
        <v>1.5</v>
      </c>
      <c r="H133" s="211">
        <v>1.4</v>
      </c>
      <c r="I133" s="211">
        <v>1.4</v>
      </c>
      <c r="J133" s="211">
        <v>1.4</v>
      </c>
      <c r="K133" s="211">
        <v>1.4</v>
      </c>
      <c r="L133" s="211">
        <v>1.4</v>
      </c>
      <c r="M133" s="115"/>
    </row>
    <row r="134" spans="1:13" outlineLevel="2">
      <c r="A134" s="363"/>
      <c r="B134" s="365"/>
      <c r="C134" s="151"/>
      <c r="D134" s="115"/>
      <c r="E134" s="142"/>
      <c r="F134" s="142"/>
      <c r="G134" s="142"/>
      <c r="H134" s="142"/>
      <c r="I134" s="142"/>
      <c r="J134" s="142"/>
      <c r="K134" s="142"/>
      <c r="L134" s="142"/>
      <c r="M134" s="115"/>
    </row>
    <row r="135" spans="1:13" outlineLevel="1">
      <c r="A135" s="363"/>
      <c r="B135" s="365"/>
      <c r="C135" s="151"/>
      <c r="D135" s="115"/>
      <c r="E135" s="142"/>
      <c r="F135" s="142"/>
      <c r="G135" s="142"/>
      <c r="H135" s="142"/>
      <c r="I135" s="142"/>
      <c r="J135" s="142"/>
      <c r="K135" s="142"/>
      <c r="L135" s="142"/>
      <c r="M135" s="115"/>
    </row>
    <row r="136" spans="1:13" ht="15" outlineLevel="1" thickBot="1">
      <c r="A136" s="363"/>
      <c r="B136" s="365"/>
      <c r="C136" s="151"/>
      <c r="D136" s="115"/>
      <c r="E136" s="615" t="s">
        <v>462</v>
      </c>
      <c r="F136" s="615"/>
      <c r="G136" s="615"/>
      <c r="H136" s="615"/>
      <c r="I136" s="615"/>
      <c r="J136" s="615"/>
      <c r="K136" s="615"/>
      <c r="L136" s="615"/>
      <c r="M136" s="115"/>
    </row>
    <row r="137" spans="1:13" outlineLevel="1">
      <c r="A137" s="363"/>
      <c r="B137" s="365"/>
      <c r="C137" s="151"/>
      <c r="D137" s="115"/>
      <c r="E137" s="119"/>
      <c r="F137" s="130">
        <v>2021</v>
      </c>
      <c r="G137" s="130">
        <v>2025</v>
      </c>
      <c r="H137" s="130">
        <v>2030</v>
      </c>
      <c r="I137" s="130">
        <v>2035</v>
      </c>
      <c r="J137" s="130">
        <v>2040</v>
      </c>
      <c r="K137" s="130">
        <v>2045</v>
      </c>
      <c r="L137" s="131">
        <v>2050</v>
      </c>
      <c r="M137" s="115"/>
    </row>
    <row r="138" spans="1:13" outlineLevel="2">
      <c r="A138" s="363"/>
      <c r="B138" s="365"/>
      <c r="C138" s="151"/>
      <c r="D138" s="115"/>
      <c r="E138" s="122" t="s">
        <v>460</v>
      </c>
      <c r="F138" s="210">
        <v>31.2</v>
      </c>
      <c r="G138" s="211">
        <v>29.6</v>
      </c>
      <c r="H138" s="211">
        <v>28</v>
      </c>
      <c r="I138" s="211">
        <v>28</v>
      </c>
      <c r="J138" s="211">
        <v>28</v>
      </c>
      <c r="K138" s="211">
        <v>28</v>
      </c>
      <c r="L138" s="211">
        <v>28</v>
      </c>
      <c r="M138" s="115"/>
    </row>
    <row r="139" spans="1:13" outlineLevel="2">
      <c r="A139" s="363"/>
      <c r="B139" s="365"/>
      <c r="C139" s="151"/>
      <c r="D139" s="115"/>
      <c r="E139" s="122" t="s">
        <v>461</v>
      </c>
      <c r="F139" s="210">
        <v>27.1</v>
      </c>
      <c r="G139" s="211">
        <v>25.7</v>
      </c>
      <c r="H139" s="211">
        <v>24.4</v>
      </c>
      <c r="I139" s="211">
        <v>24.4</v>
      </c>
      <c r="J139" s="211">
        <v>24.4</v>
      </c>
      <c r="K139" s="211">
        <v>24.4</v>
      </c>
      <c r="L139" s="211">
        <v>24.4</v>
      </c>
      <c r="M139" s="115"/>
    </row>
    <row r="140" spans="1:13" outlineLevel="2">
      <c r="A140" s="363"/>
      <c r="B140" s="365"/>
      <c r="C140" s="151"/>
      <c r="D140" s="115"/>
      <c r="E140" s="122" t="s">
        <v>458</v>
      </c>
      <c r="F140" s="210">
        <v>130</v>
      </c>
      <c r="G140" s="211">
        <v>125</v>
      </c>
      <c r="H140" s="211">
        <v>120</v>
      </c>
      <c r="I140" s="211">
        <v>120</v>
      </c>
      <c r="J140" s="211">
        <v>120</v>
      </c>
      <c r="K140" s="211">
        <v>120</v>
      </c>
      <c r="L140" s="211">
        <v>120</v>
      </c>
      <c r="M140" s="115"/>
    </row>
    <row r="141" spans="1:13" ht="15" outlineLevel="2" thickBot="1">
      <c r="A141" s="363"/>
      <c r="B141" s="365"/>
      <c r="C141" s="151"/>
      <c r="D141" s="115"/>
      <c r="E141" s="122" t="s">
        <v>459</v>
      </c>
      <c r="F141" s="210">
        <v>7</v>
      </c>
      <c r="G141" s="211">
        <v>6.5</v>
      </c>
      <c r="H141" s="211">
        <v>6.5</v>
      </c>
      <c r="I141" s="211">
        <v>6.5</v>
      </c>
      <c r="J141" s="211">
        <v>6.5</v>
      </c>
      <c r="K141" s="211">
        <v>6.5</v>
      </c>
      <c r="L141" s="211">
        <v>6.5</v>
      </c>
      <c r="M141" s="115"/>
    </row>
    <row r="142" spans="1:13" outlineLevel="2">
      <c r="A142" s="363"/>
      <c r="B142" s="365"/>
      <c r="C142" s="151"/>
      <c r="D142" s="115"/>
      <c r="E142" s="616"/>
      <c r="F142" s="616"/>
      <c r="G142" s="616"/>
      <c r="H142" s="616"/>
      <c r="I142" s="616"/>
      <c r="J142" s="616"/>
      <c r="K142" s="616"/>
      <c r="L142" s="616"/>
      <c r="M142" s="115"/>
    </row>
    <row r="143" spans="1:13" outlineLevel="1">
      <c r="A143" s="363"/>
      <c r="B143" s="365"/>
      <c r="C143" s="151"/>
      <c r="D143" s="115"/>
      <c r="E143" s="142"/>
      <c r="F143" s="142"/>
      <c r="G143" s="142"/>
      <c r="H143" s="142"/>
      <c r="I143" s="142"/>
      <c r="J143" s="142"/>
      <c r="K143" s="142"/>
      <c r="L143" s="142"/>
      <c r="M143" s="115"/>
    </row>
    <row r="144" spans="1:13" ht="15" outlineLevel="1" thickBot="1">
      <c r="A144" s="363"/>
      <c r="B144" s="365"/>
      <c r="C144" s="151"/>
      <c r="D144" s="115"/>
      <c r="E144" s="615" t="s">
        <v>463</v>
      </c>
      <c r="F144" s="615"/>
      <c r="G144" s="615"/>
      <c r="H144" s="615"/>
      <c r="I144" s="615"/>
      <c r="J144" s="615"/>
      <c r="K144" s="615"/>
      <c r="L144" s="615"/>
      <c r="M144" s="115"/>
    </row>
    <row r="145" spans="1:16" outlineLevel="2">
      <c r="A145" s="363"/>
      <c r="B145" s="365"/>
      <c r="C145" s="151"/>
      <c r="D145" s="115"/>
      <c r="E145" s="119"/>
      <c r="F145" s="130">
        <v>2021</v>
      </c>
      <c r="G145" s="130">
        <v>2025</v>
      </c>
      <c r="H145" s="130">
        <v>2030</v>
      </c>
      <c r="I145" s="130">
        <v>2035</v>
      </c>
      <c r="J145" s="130">
        <v>2040</v>
      </c>
      <c r="K145" s="130">
        <v>2045</v>
      </c>
      <c r="L145" s="131">
        <v>2050</v>
      </c>
      <c r="M145" s="115"/>
    </row>
    <row r="146" spans="1:16" outlineLevel="2">
      <c r="A146" s="363"/>
      <c r="B146" s="365"/>
      <c r="C146" s="151"/>
      <c r="D146" s="115"/>
      <c r="E146" s="122" t="s">
        <v>460</v>
      </c>
      <c r="F146" s="210">
        <v>32.9</v>
      </c>
      <c r="G146" s="211">
        <v>32</v>
      </c>
      <c r="H146" s="211">
        <v>29.5</v>
      </c>
      <c r="I146" s="211">
        <v>28.5</v>
      </c>
      <c r="J146" s="211">
        <v>28</v>
      </c>
      <c r="K146" s="211">
        <v>28</v>
      </c>
      <c r="L146" s="211">
        <v>28</v>
      </c>
      <c r="M146" s="115"/>
    </row>
    <row r="147" spans="1:16" outlineLevel="2">
      <c r="A147" s="363"/>
      <c r="B147" s="365"/>
      <c r="C147" s="151"/>
      <c r="D147" s="115"/>
      <c r="E147" s="122" t="s">
        <v>461</v>
      </c>
      <c r="F147" s="210">
        <v>27.8</v>
      </c>
      <c r="G147" s="211">
        <v>26.7</v>
      </c>
      <c r="H147" s="211">
        <v>25.5</v>
      </c>
      <c r="I147" s="211">
        <v>24.7</v>
      </c>
      <c r="J147" s="211">
        <v>24.4</v>
      </c>
      <c r="K147" s="211">
        <v>24.4</v>
      </c>
      <c r="L147" s="211">
        <v>24.4</v>
      </c>
      <c r="M147" s="115"/>
    </row>
    <row r="148" spans="1:16" outlineLevel="2">
      <c r="A148" s="363"/>
      <c r="B148" s="365"/>
      <c r="C148" s="151"/>
      <c r="D148" s="115"/>
      <c r="E148" s="122" t="s">
        <v>458</v>
      </c>
      <c r="F148" s="210">
        <v>136</v>
      </c>
      <c r="G148" s="211">
        <v>126</v>
      </c>
      <c r="H148" s="211">
        <v>123</v>
      </c>
      <c r="I148" s="211">
        <v>121</v>
      </c>
      <c r="J148" s="211">
        <v>120</v>
      </c>
      <c r="K148" s="211">
        <v>120</v>
      </c>
      <c r="L148" s="211">
        <v>120</v>
      </c>
      <c r="M148" s="115"/>
    </row>
    <row r="149" spans="1:16" outlineLevel="2">
      <c r="A149" s="363"/>
      <c r="B149" s="365"/>
      <c r="C149" s="151"/>
      <c r="D149" s="115"/>
      <c r="E149" s="122" t="s">
        <v>459</v>
      </c>
      <c r="F149" s="210">
        <v>6.9</v>
      </c>
      <c r="G149" s="211">
        <v>6.8</v>
      </c>
      <c r="H149" s="211">
        <v>6.5</v>
      </c>
      <c r="I149" s="211">
        <v>6.5</v>
      </c>
      <c r="J149" s="211">
        <v>6.5</v>
      </c>
      <c r="K149" s="211">
        <v>6.5</v>
      </c>
      <c r="L149" s="211">
        <v>6.5</v>
      </c>
      <c r="M149" s="115"/>
    </row>
    <row r="150" spans="1:16" outlineLevel="2">
      <c r="A150" s="363"/>
      <c r="B150" s="365"/>
      <c r="C150" s="151"/>
      <c r="D150" s="115"/>
      <c r="E150" s="142"/>
      <c r="F150" s="142"/>
      <c r="G150" s="142"/>
      <c r="H150" s="142"/>
      <c r="I150" s="142"/>
      <c r="J150" s="142"/>
      <c r="K150" s="142"/>
      <c r="L150" s="142"/>
      <c r="M150" s="115"/>
    </row>
    <row r="151" spans="1:16" outlineLevel="1">
      <c r="A151" s="363"/>
      <c r="B151" s="365"/>
      <c r="C151" s="151"/>
      <c r="D151" s="115"/>
      <c r="E151" s="142"/>
      <c r="F151" s="142"/>
      <c r="G151" s="142"/>
      <c r="H151" s="142"/>
      <c r="I151" s="142"/>
      <c r="J151" s="142"/>
      <c r="K151" s="142"/>
      <c r="L151" s="142"/>
      <c r="M151" s="115"/>
    </row>
    <row r="152" spans="1:16" ht="28.8" thickBot="1">
      <c r="A152" s="363"/>
      <c r="B152" s="365"/>
      <c r="C152" s="151" t="str">
        <f t="shared" si="6"/>
        <v>Trafic</v>
      </c>
      <c r="D152" s="369"/>
      <c r="E152" s="370"/>
      <c r="F152" s="617" t="s">
        <v>464</v>
      </c>
      <c r="G152" s="617"/>
      <c r="H152" s="617"/>
      <c r="I152" s="617"/>
      <c r="J152" s="617"/>
      <c r="K152" s="617"/>
      <c r="L152" s="617"/>
      <c r="M152" s="617"/>
    </row>
    <row r="153" spans="1:16" ht="15.6" thickTop="1" thickBot="1">
      <c r="A153" s="363"/>
      <c r="B153" s="365"/>
      <c r="C153" s="151" t="str">
        <f t="shared" si="6"/>
        <v/>
      </c>
      <c r="D153" s="203"/>
      <c r="E153" s="203"/>
      <c r="F153" s="203"/>
    </row>
    <row r="154" spans="1:16" outlineLevel="1">
      <c r="A154" s="363"/>
      <c r="B154" s="365"/>
      <c r="C154" s="151" t="str">
        <f t="shared" si="6"/>
        <v>Pour les trafics, les évolutions sont présentées par rapport à 2019 et non 2021 (année impactée par le covid)</v>
      </c>
      <c r="D154" s="115"/>
      <c r="E154" s="644" t="s">
        <v>1072</v>
      </c>
      <c r="F154" s="644"/>
      <c r="G154" s="644"/>
      <c r="H154" s="644"/>
      <c r="I154" s="644"/>
      <c r="J154" s="644"/>
      <c r="K154" s="644"/>
      <c r="L154" s="644"/>
      <c r="M154" s="115"/>
      <c r="O154" s="190"/>
    </row>
    <row r="155" spans="1:16" outlineLevel="1">
      <c r="A155" s="363"/>
      <c r="B155" s="365"/>
      <c r="C155" s="151" t="str">
        <f t="shared" si="6"/>
        <v/>
      </c>
      <c r="D155" s="115"/>
      <c r="E155" s="142"/>
      <c r="F155" s="142"/>
      <c r="G155" s="142"/>
      <c r="H155" s="142"/>
      <c r="I155" s="142"/>
      <c r="J155" s="142"/>
      <c r="K155" s="142"/>
      <c r="L155" s="142"/>
      <c r="M155" s="115"/>
      <c r="O155" s="190"/>
      <c r="P155" s="399"/>
    </row>
    <row r="156" spans="1:16" ht="15" outlineLevel="1" thickBot="1">
      <c r="A156" s="363"/>
      <c r="B156" s="365"/>
      <c r="C156" s="151" t="str">
        <f t="shared" si="6"/>
        <v>Evolution des trafics voyageurs dans l'hexagone (Mds passagers kilomètre)</v>
      </c>
      <c r="D156" s="115"/>
      <c r="E156" s="615" t="s">
        <v>473</v>
      </c>
      <c r="F156" s="615"/>
      <c r="G156" s="615"/>
      <c r="H156" s="615"/>
      <c r="I156" s="615"/>
      <c r="J156" s="615"/>
      <c r="K156" s="615"/>
      <c r="L156" s="615"/>
      <c r="M156" s="115"/>
      <c r="O156" s="190"/>
      <c r="P156" s="399"/>
    </row>
    <row r="157" spans="1:16" outlineLevel="2">
      <c r="A157" s="363"/>
      <c r="B157" s="365"/>
      <c r="C157" s="151" t="str">
        <f t="shared" si="6"/>
        <v>Mds passagers kilomètres</v>
      </c>
      <c r="D157" s="115"/>
      <c r="E157" s="119" t="s">
        <v>472</v>
      </c>
      <c r="F157" s="130">
        <v>2019</v>
      </c>
      <c r="G157" s="130">
        <v>2025</v>
      </c>
      <c r="H157" s="130">
        <v>2030</v>
      </c>
      <c r="I157" s="130">
        <v>2035</v>
      </c>
      <c r="J157" s="130">
        <v>2040</v>
      </c>
      <c r="K157" s="130">
        <v>2045</v>
      </c>
      <c r="L157" s="131">
        <v>2050</v>
      </c>
      <c r="M157" s="115"/>
      <c r="O157" s="190"/>
      <c r="P157" s="399"/>
    </row>
    <row r="158" spans="1:16" outlineLevel="2">
      <c r="A158" s="363"/>
      <c r="B158" s="365"/>
      <c r="C158" s="151" t="str">
        <f t="shared" si="6"/>
        <v>Voitures</v>
      </c>
      <c r="D158" s="115"/>
      <c r="E158" s="122" t="s">
        <v>465</v>
      </c>
      <c r="F158" s="245">
        <v>834.04486721528679</v>
      </c>
      <c r="G158" s="246">
        <v>822</v>
      </c>
      <c r="H158" s="246">
        <v>829</v>
      </c>
      <c r="I158" s="246">
        <v>854</v>
      </c>
      <c r="J158" s="246">
        <v>879</v>
      </c>
      <c r="K158" s="246">
        <v>905</v>
      </c>
      <c r="L158" s="246">
        <v>930</v>
      </c>
      <c r="M158" s="115"/>
      <c r="N158" s="606"/>
      <c r="O158" s="190"/>
      <c r="P158" s="399"/>
    </row>
    <row r="159" spans="1:16" outlineLevel="2">
      <c r="A159" s="363"/>
      <c r="B159" s="365"/>
      <c r="C159" s="151" t="str">
        <f t="shared" si="6"/>
        <v>TC</v>
      </c>
      <c r="D159" s="115"/>
      <c r="E159" s="122" t="s">
        <v>466</v>
      </c>
      <c r="F159" s="245">
        <v>173.26624950294556</v>
      </c>
      <c r="G159" s="246">
        <v>187</v>
      </c>
      <c r="H159" s="246">
        <v>199</v>
      </c>
      <c r="I159" s="246">
        <v>220</v>
      </c>
      <c r="J159" s="246">
        <v>240</v>
      </c>
      <c r="K159" s="246">
        <v>260</v>
      </c>
      <c r="L159" s="246">
        <v>280</v>
      </c>
      <c r="M159" s="115"/>
      <c r="O159" s="190"/>
      <c r="P159" s="399"/>
    </row>
    <row r="160" spans="1:16" outlineLevel="2">
      <c r="A160" s="363"/>
      <c r="B160" s="365"/>
      <c r="C160" s="151" t="str">
        <f t="shared" si="6"/>
        <v xml:space="preserve">  dont ferrés</v>
      </c>
      <c r="D160" s="115"/>
      <c r="E160" s="390" t="s">
        <v>467</v>
      </c>
      <c r="F160" s="245">
        <v>112.30931839095859</v>
      </c>
      <c r="G160" s="246">
        <v>137</v>
      </c>
      <c r="H160" s="246">
        <v>148</v>
      </c>
      <c r="I160" s="246">
        <v>164</v>
      </c>
      <c r="J160" s="246">
        <v>181</v>
      </c>
      <c r="K160" s="246">
        <v>197</v>
      </c>
      <c r="L160" s="246">
        <v>213</v>
      </c>
      <c r="M160" s="115"/>
      <c r="O160" s="190"/>
      <c r="P160" s="399"/>
    </row>
    <row r="161" spans="1:16" outlineLevel="2">
      <c r="A161" s="363"/>
      <c r="B161" s="365"/>
      <c r="C161" s="151" t="str">
        <f t="shared" si="6"/>
        <v xml:space="preserve">  dont bus et cars</v>
      </c>
      <c r="D161" s="115"/>
      <c r="E161" s="390" t="s">
        <v>468</v>
      </c>
      <c r="F161" s="245">
        <v>60.956931111986968</v>
      </c>
      <c r="G161" s="246">
        <v>50</v>
      </c>
      <c r="H161" s="246">
        <v>51</v>
      </c>
      <c r="I161" s="246">
        <v>55</v>
      </c>
      <c r="J161" s="246">
        <v>59</v>
      </c>
      <c r="K161" s="246">
        <v>63</v>
      </c>
      <c r="L161" s="246">
        <v>67</v>
      </c>
      <c r="M161" s="115"/>
      <c r="O161" s="190"/>
      <c r="P161" s="399"/>
    </row>
    <row r="162" spans="1:16" outlineLevel="2">
      <c r="A162" s="363"/>
      <c r="B162" s="365"/>
      <c r="C162" s="151" t="str">
        <f t="shared" si="6"/>
        <v>Aérien</v>
      </c>
      <c r="D162" s="115"/>
      <c r="E162" s="122" t="s">
        <v>469</v>
      </c>
      <c r="F162" s="245">
        <v>16.199438000000001</v>
      </c>
      <c r="G162" s="246">
        <v>15</v>
      </c>
      <c r="H162" s="246">
        <v>15</v>
      </c>
      <c r="I162" s="246">
        <v>15</v>
      </c>
      <c r="J162" s="246">
        <v>13</v>
      </c>
      <c r="K162" s="246">
        <v>14</v>
      </c>
      <c r="L162" s="246">
        <v>14</v>
      </c>
      <c r="M162" s="115"/>
      <c r="O162" s="190"/>
      <c r="P162" s="399"/>
    </row>
    <row r="163" spans="1:16" outlineLevel="2">
      <c r="A163" s="363"/>
      <c r="B163" s="365"/>
      <c r="C163" s="151" t="str">
        <f t="shared" si="6"/>
        <v>2RM</v>
      </c>
      <c r="D163" s="115"/>
      <c r="E163" s="122" t="s">
        <v>470</v>
      </c>
      <c r="F163" s="245">
        <v>11.340237796767951</v>
      </c>
      <c r="G163" s="246">
        <v>11</v>
      </c>
      <c r="H163" s="246">
        <v>11</v>
      </c>
      <c r="I163" s="246">
        <v>12</v>
      </c>
      <c r="J163" s="246">
        <v>12</v>
      </c>
      <c r="K163" s="246">
        <v>12</v>
      </c>
      <c r="L163" s="246">
        <v>13</v>
      </c>
      <c r="M163" s="115"/>
      <c r="O163" s="190"/>
      <c r="P163" s="399"/>
    </row>
    <row r="164" spans="1:16" outlineLevel="2">
      <c r="A164" s="363"/>
      <c r="B164" s="365"/>
      <c r="C164" s="151" t="str">
        <f t="shared" si="6"/>
        <v>Vélo</v>
      </c>
      <c r="D164" s="115"/>
      <c r="E164" s="122" t="s">
        <v>471</v>
      </c>
      <c r="F164" s="245">
        <v>5.5</v>
      </c>
      <c r="G164" s="246">
        <v>11</v>
      </c>
      <c r="H164" s="246">
        <v>16</v>
      </c>
      <c r="I164" s="246">
        <v>16</v>
      </c>
      <c r="J164" s="246">
        <v>16</v>
      </c>
      <c r="K164" s="246">
        <v>16</v>
      </c>
      <c r="L164" s="246">
        <v>16</v>
      </c>
      <c r="M164" s="115"/>
      <c r="O164" s="190"/>
      <c r="P164" s="399"/>
    </row>
    <row r="165" spans="1:16" ht="15" outlineLevel="2" thickBot="1">
      <c r="A165" s="363"/>
      <c r="B165" s="365"/>
      <c r="C165" s="151" t="str">
        <f t="shared" si="6"/>
        <v>Total</v>
      </c>
      <c r="D165" s="115"/>
      <c r="E165" s="129" t="s">
        <v>144</v>
      </c>
      <c r="F165" s="241">
        <v>1040.3507925150002</v>
      </c>
      <c r="G165" s="242">
        <v>1045</v>
      </c>
      <c r="H165" s="242">
        <v>1071</v>
      </c>
      <c r="I165" s="242">
        <v>1117</v>
      </c>
      <c r="J165" s="242">
        <v>1161</v>
      </c>
      <c r="K165" s="242">
        <v>1208</v>
      </c>
      <c r="L165" s="242">
        <v>1254</v>
      </c>
      <c r="M165" s="115"/>
      <c r="O165" s="190"/>
      <c r="P165" s="399"/>
    </row>
    <row r="166" spans="1:16" outlineLevel="2">
      <c r="A166" s="363"/>
      <c r="B166" s="365"/>
      <c r="C166" s="151" t="str">
        <f t="shared" si="6"/>
        <v>Périmètre hexagone</v>
      </c>
      <c r="D166" s="115"/>
      <c r="E166" s="616" t="s">
        <v>970</v>
      </c>
      <c r="F166" s="616"/>
      <c r="G166" s="616"/>
      <c r="H166" s="616"/>
      <c r="I166" s="616"/>
      <c r="J166" s="616"/>
      <c r="K166" s="616"/>
      <c r="L166" s="616"/>
      <c r="M166" s="115"/>
      <c r="O166" s="190"/>
      <c r="P166" s="399"/>
    </row>
    <row r="167" spans="1:16" outlineLevel="1">
      <c r="A167" s="363"/>
      <c r="B167" s="365"/>
      <c r="C167" s="151" t="str">
        <f t="shared" si="6"/>
        <v/>
      </c>
      <c r="D167" s="115"/>
      <c r="E167" s="142"/>
      <c r="F167" s="142"/>
      <c r="G167" s="142"/>
      <c r="H167" s="142"/>
      <c r="I167" s="142"/>
      <c r="J167" s="142"/>
      <c r="K167" s="142"/>
      <c r="L167" s="142"/>
      <c r="M167" s="115"/>
      <c r="O167" s="190"/>
      <c r="P167" s="399"/>
    </row>
    <row r="168" spans="1:16" ht="15" outlineLevel="1" thickBot="1">
      <c r="A168" s="363"/>
      <c r="B168" s="365"/>
      <c r="C168" s="151"/>
      <c r="D168" s="115"/>
      <c r="E168" s="615" t="s">
        <v>848</v>
      </c>
      <c r="F168" s="615"/>
      <c r="G168" s="615"/>
      <c r="H168" s="615"/>
      <c r="I168" s="615"/>
      <c r="J168" s="615"/>
      <c r="K168" s="615"/>
      <c r="L168" s="615"/>
      <c r="M168" s="115"/>
      <c r="O168" s="190"/>
    </row>
    <row r="169" spans="1:16" outlineLevel="2">
      <c r="A169" s="363"/>
      <c r="B169" s="365"/>
      <c r="C169" s="151"/>
      <c r="D169" s="115"/>
      <c r="E169" s="119" t="s">
        <v>849</v>
      </c>
      <c r="F169" s="130">
        <v>2019</v>
      </c>
      <c r="G169" s="130">
        <v>2025</v>
      </c>
      <c r="H169" s="130">
        <v>2030</v>
      </c>
      <c r="I169" s="130">
        <v>2035</v>
      </c>
      <c r="J169" s="130">
        <v>2040</v>
      </c>
      <c r="K169" s="130">
        <v>2045</v>
      </c>
      <c r="L169" s="131">
        <v>2050</v>
      </c>
      <c r="M169" s="115"/>
      <c r="O169" s="190"/>
    </row>
    <row r="170" spans="1:16" outlineLevel="2">
      <c r="A170" s="363"/>
      <c r="B170" s="365"/>
      <c r="C170" s="151"/>
      <c r="D170" s="115"/>
      <c r="E170" s="122" t="s">
        <v>474</v>
      </c>
      <c r="F170" s="245">
        <v>296.78758110365834</v>
      </c>
      <c r="G170" s="246">
        <v>308</v>
      </c>
      <c r="H170" s="246">
        <v>320</v>
      </c>
      <c r="I170" s="246">
        <v>325</v>
      </c>
      <c r="J170" s="246">
        <v>329</v>
      </c>
      <c r="K170" s="246">
        <v>333</v>
      </c>
      <c r="L170" s="246">
        <v>337</v>
      </c>
      <c r="M170" s="115"/>
      <c r="O170" s="190"/>
    </row>
    <row r="171" spans="1:16" outlineLevel="2">
      <c r="A171" s="363"/>
      <c r="B171" s="365"/>
      <c r="C171" s="151"/>
      <c r="D171" s="115"/>
      <c r="E171" s="122" t="s">
        <v>475</v>
      </c>
      <c r="F171" s="245">
        <v>33.908709999999999</v>
      </c>
      <c r="G171" s="246">
        <v>35</v>
      </c>
      <c r="H171" s="246">
        <v>38</v>
      </c>
      <c r="I171" s="246">
        <v>39</v>
      </c>
      <c r="J171" s="246">
        <v>39</v>
      </c>
      <c r="K171" s="246">
        <v>40</v>
      </c>
      <c r="L171" s="246">
        <v>40</v>
      </c>
      <c r="M171" s="115"/>
      <c r="O171" s="190"/>
    </row>
    <row r="172" spans="1:16" outlineLevel="2">
      <c r="A172" s="363"/>
      <c r="B172" s="365"/>
      <c r="C172" s="151"/>
      <c r="D172" s="115"/>
      <c r="E172" s="122" t="s">
        <v>476</v>
      </c>
      <c r="F172" s="245">
        <v>7.9964555830000004</v>
      </c>
      <c r="G172" s="246">
        <v>9</v>
      </c>
      <c r="H172" s="246">
        <v>7</v>
      </c>
      <c r="I172" s="246">
        <v>7</v>
      </c>
      <c r="J172" s="246">
        <v>8</v>
      </c>
      <c r="K172" s="246">
        <v>8</v>
      </c>
      <c r="L172" s="246">
        <v>8</v>
      </c>
      <c r="M172" s="115"/>
      <c r="O172" s="190"/>
    </row>
    <row r="173" spans="1:16" ht="15" outlineLevel="2" thickBot="1">
      <c r="A173" s="363"/>
      <c r="B173" s="365"/>
      <c r="C173" s="151"/>
      <c r="D173" s="115"/>
      <c r="E173" s="129" t="s">
        <v>477</v>
      </c>
      <c r="F173" s="241">
        <v>338.69274668665832</v>
      </c>
      <c r="G173" s="242">
        <v>352</v>
      </c>
      <c r="H173" s="242">
        <v>366</v>
      </c>
      <c r="I173" s="242">
        <v>371</v>
      </c>
      <c r="J173" s="242">
        <v>375</v>
      </c>
      <c r="K173" s="242">
        <v>380</v>
      </c>
      <c r="L173" s="242">
        <v>385</v>
      </c>
      <c r="M173" s="115"/>
      <c r="O173" s="190"/>
    </row>
    <row r="174" spans="1:16" outlineLevel="2">
      <c r="A174" s="363"/>
      <c r="B174" s="365"/>
      <c r="C174" s="151"/>
      <c r="D174" s="115"/>
      <c r="E174" s="616" t="s">
        <v>970</v>
      </c>
      <c r="F174" s="616"/>
      <c r="G174" s="616"/>
      <c r="H174" s="616"/>
      <c r="I174" s="616"/>
      <c r="J174" s="616"/>
      <c r="K174" s="616"/>
      <c r="L174" s="616"/>
      <c r="M174" s="115"/>
      <c r="O174" s="190"/>
    </row>
    <row r="175" spans="1:16" s="399" customFormat="1" outlineLevel="2">
      <c r="A175" s="363"/>
      <c r="B175" s="365"/>
      <c r="C175" s="151"/>
      <c r="D175" s="115"/>
      <c r="E175" s="430"/>
      <c r="F175" s="430"/>
      <c r="G175" s="430"/>
      <c r="H175" s="430"/>
      <c r="I175" s="430"/>
      <c r="J175" s="430"/>
      <c r="K175" s="430"/>
      <c r="L175" s="430"/>
      <c r="M175" s="115"/>
      <c r="O175" s="190"/>
    </row>
    <row r="176" spans="1:16" s="399" customFormat="1" ht="15" outlineLevel="2" thickBot="1">
      <c r="A176" s="363"/>
      <c r="B176" s="365"/>
      <c r="C176" s="151"/>
      <c r="D176" s="115"/>
      <c r="E176" s="615" t="s">
        <v>993</v>
      </c>
      <c r="F176" s="615"/>
      <c r="G176" s="615"/>
      <c r="H176" s="615"/>
      <c r="I176" s="615"/>
      <c r="J176" s="615"/>
      <c r="K176" s="615"/>
      <c r="L176" s="615"/>
      <c r="M176" s="115"/>
      <c r="O176" s="190"/>
    </row>
    <row r="177" spans="1:15" s="399" customFormat="1" outlineLevel="2">
      <c r="A177" s="363"/>
      <c r="B177" s="365"/>
      <c r="C177" s="151"/>
      <c r="D177" s="115"/>
      <c r="E177" s="119"/>
      <c r="F177" s="130">
        <v>2019</v>
      </c>
      <c r="G177" s="130">
        <v>2025</v>
      </c>
      <c r="H177" s="130">
        <v>2030</v>
      </c>
      <c r="I177" s="130">
        <v>2035</v>
      </c>
      <c r="J177" s="130">
        <v>2040</v>
      </c>
      <c r="K177" s="130">
        <v>2045</v>
      </c>
      <c r="L177" s="131">
        <v>2050</v>
      </c>
      <c r="M177" s="115"/>
      <c r="O177" s="190"/>
    </row>
    <row r="178" spans="1:15" s="399" customFormat="1" outlineLevel="2">
      <c r="A178" s="363"/>
      <c r="B178" s="365"/>
      <c r="C178" s="151"/>
      <c r="D178" s="115"/>
      <c r="E178" s="122" t="s">
        <v>984</v>
      </c>
      <c r="F178" s="210">
        <v>1.62</v>
      </c>
      <c r="G178" s="211">
        <v>1.63</v>
      </c>
      <c r="H178" s="211">
        <v>1.65</v>
      </c>
      <c r="I178" s="211">
        <v>1.65</v>
      </c>
      <c r="J178" s="211">
        <v>1.65</v>
      </c>
      <c r="K178" s="211">
        <v>1.65</v>
      </c>
      <c r="L178" s="211">
        <v>1.65</v>
      </c>
      <c r="M178" s="115"/>
      <c r="O178" s="190"/>
    </row>
    <row r="179" spans="1:15" s="399" customFormat="1" ht="15" outlineLevel="2" thickBot="1">
      <c r="A179" s="363"/>
      <c r="B179" s="365"/>
      <c r="C179" s="151"/>
      <c r="D179" s="115"/>
      <c r="E179" s="179" t="s">
        <v>985</v>
      </c>
      <c r="F179" s="317">
        <v>7.9143354960975554</v>
      </c>
      <c r="G179" s="318">
        <v>7.7939688638242748</v>
      </c>
      <c r="H179" s="318">
        <v>7.9</v>
      </c>
      <c r="I179" s="318">
        <v>8</v>
      </c>
      <c r="J179" s="318">
        <v>8</v>
      </c>
      <c r="K179" s="318">
        <v>8</v>
      </c>
      <c r="L179" s="318">
        <v>8</v>
      </c>
      <c r="M179" s="115"/>
      <c r="O179" s="190"/>
    </row>
    <row r="180" spans="1:15" s="399" customFormat="1" outlineLevel="2">
      <c r="A180" s="363"/>
      <c r="B180" s="365"/>
      <c r="C180" s="151"/>
      <c r="D180" s="115"/>
      <c r="E180" s="616" t="s">
        <v>970</v>
      </c>
      <c r="F180" s="616"/>
      <c r="G180" s="616"/>
      <c r="H180" s="616"/>
      <c r="I180" s="616"/>
      <c r="J180" s="616"/>
      <c r="K180" s="616"/>
      <c r="L180" s="616"/>
      <c r="M180" s="115"/>
      <c r="O180" s="190"/>
    </row>
    <row r="181" spans="1:15" s="399" customFormat="1" outlineLevel="2">
      <c r="A181" s="363"/>
      <c r="B181" s="365"/>
      <c r="C181" s="151"/>
      <c r="D181" s="115"/>
      <c r="E181" s="430"/>
      <c r="F181" s="430"/>
      <c r="G181" s="430"/>
      <c r="H181" s="430"/>
      <c r="I181" s="430"/>
      <c r="J181" s="430"/>
      <c r="K181" s="430"/>
      <c r="L181" s="430"/>
      <c r="M181" s="115"/>
      <c r="O181" s="190"/>
    </row>
    <row r="182" spans="1:15" s="399" customFormat="1" ht="15" outlineLevel="2" thickBot="1">
      <c r="A182" s="363"/>
      <c r="B182" s="365"/>
      <c r="C182" s="151"/>
      <c r="D182" s="115"/>
      <c r="E182" s="615" t="s">
        <v>986</v>
      </c>
      <c r="F182" s="615"/>
      <c r="G182" s="615"/>
      <c r="H182" s="615"/>
      <c r="I182" s="615"/>
      <c r="J182" s="615"/>
      <c r="K182" s="615"/>
      <c r="L182" s="615"/>
      <c r="M182" s="115"/>
      <c r="O182" s="190"/>
    </row>
    <row r="183" spans="1:15" s="399" customFormat="1" outlineLevel="2">
      <c r="A183" s="363"/>
      <c r="B183" s="365"/>
      <c r="C183" s="151"/>
      <c r="D183" s="115"/>
      <c r="E183" s="119"/>
      <c r="F183" s="130">
        <v>2019</v>
      </c>
      <c r="G183" s="130">
        <v>2025</v>
      </c>
      <c r="H183" s="130">
        <v>2030</v>
      </c>
      <c r="I183" s="130">
        <v>2035</v>
      </c>
      <c r="J183" s="130">
        <v>2040</v>
      </c>
      <c r="K183" s="130">
        <v>2045</v>
      </c>
      <c r="L183" s="131">
        <v>2050</v>
      </c>
      <c r="M183" s="115"/>
      <c r="O183" s="190"/>
    </row>
    <row r="184" spans="1:15" s="399" customFormat="1" outlineLevel="2">
      <c r="A184" s="363"/>
      <c r="B184" s="365"/>
      <c r="C184" s="151"/>
      <c r="D184" s="115"/>
      <c r="E184" s="179" t="s">
        <v>987</v>
      </c>
      <c r="F184" s="248">
        <v>504.5</v>
      </c>
      <c r="G184" s="249">
        <v>493.49007551699191</v>
      </c>
      <c r="H184" s="249">
        <v>492.19441495828949</v>
      </c>
      <c r="I184" s="249">
        <v>507.25807222408076</v>
      </c>
      <c r="J184" s="249">
        <v>522.32172948987204</v>
      </c>
      <c r="K184" s="249">
        <v>537.38538675566338</v>
      </c>
      <c r="L184" s="249">
        <v>552.44904402145471</v>
      </c>
      <c r="M184" s="115"/>
      <c r="O184" s="190"/>
    </row>
    <row r="185" spans="1:15" s="399" customFormat="1" outlineLevel="2">
      <c r="A185" s="363"/>
      <c r="B185" s="365"/>
      <c r="C185" s="151"/>
      <c r="D185" s="115"/>
      <c r="E185" s="179" t="s">
        <v>988</v>
      </c>
      <c r="F185" s="248">
        <v>37.5</v>
      </c>
      <c r="G185" s="249">
        <v>39.001593769992432</v>
      </c>
      <c r="H185" s="249">
        <v>40.053804223164221</v>
      </c>
      <c r="I185" s="249">
        <v>40.573020203834865</v>
      </c>
      <c r="J185" s="249">
        <v>41.092236184505516</v>
      </c>
      <c r="K185" s="249">
        <v>41.611452165176154</v>
      </c>
      <c r="L185" s="249">
        <v>42.130668145846798</v>
      </c>
      <c r="M185" s="115"/>
      <c r="O185" s="190"/>
    </row>
    <row r="186" spans="1:15" s="399" customFormat="1" outlineLevel="2">
      <c r="A186" s="363"/>
      <c r="B186" s="365"/>
      <c r="C186" s="151"/>
      <c r="D186" s="115"/>
      <c r="E186" s="179" t="s">
        <v>989</v>
      </c>
      <c r="F186" s="248">
        <v>88.6</v>
      </c>
      <c r="G186" s="249">
        <v>90.814999999999984</v>
      </c>
      <c r="H186" s="249">
        <v>93.03</v>
      </c>
      <c r="I186" s="249">
        <v>95.688000000000002</v>
      </c>
      <c r="J186" s="249">
        <v>98.345999999999989</v>
      </c>
      <c r="K186" s="249">
        <v>101.00399999999999</v>
      </c>
      <c r="L186" s="249">
        <v>103.66199999999999</v>
      </c>
      <c r="M186" s="115"/>
      <c r="O186" s="190"/>
    </row>
    <row r="187" spans="1:15" s="399" customFormat="1" outlineLevel="2">
      <c r="A187" s="363"/>
      <c r="B187" s="365"/>
      <c r="C187" s="151"/>
      <c r="D187" s="115"/>
      <c r="E187" s="179" t="s">
        <v>990</v>
      </c>
      <c r="F187" s="248">
        <v>3.3000000000000003</v>
      </c>
      <c r="G187" s="249">
        <v>3.7950000000000008</v>
      </c>
      <c r="H187" s="249">
        <v>4.2900000000000009</v>
      </c>
      <c r="I187" s="249">
        <v>4.2900000000000009</v>
      </c>
      <c r="J187" s="249">
        <v>4.2900000000000009</v>
      </c>
      <c r="K187" s="249">
        <v>4.2900000000000009</v>
      </c>
      <c r="L187" s="249">
        <v>4.2900000000000009</v>
      </c>
      <c r="M187" s="115"/>
      <c r="O187" s="190"/>
    </row>
    <row r="188" spans="1:15" s="399" customFormat="1" ht="15" outlineLevel="2" thickBot="1">
      <c r="A188" s="363"/>
      <c r="B188" s="365"/>
      <c r="C188" s="151"/>
      <c r="D188" s="115"/>
      <c r="E188" s="179" t="s">
        <v>991</v>
      </c>
      <c r="F188" s="248">
        <v>11.3</v>
      </c>
      <c r="G188" s="249">
        <v>11.246016028247409</v>
      </c>
      <c r="H188" s="249">
        <v>11.351946332376976</v>
      </c>
      <c r="I188" s="249">
        <v>11.699373738405292</v>
      </c>
      <c r="J188" s="249">
        <v>12.046801144433608</v>
      </c>
      <c r="K188" s="249">
        <v>12.394228550461927</v>
      </c>
      <c r="L188" s="249">
        <v>12.741655956490243</v>
      </c>
      <c r="M188" s="115"/>
      <c r="O188" s="190"/>
    </row>
    <row r="189" spans="1:15" s="399" customFormat="1" outlineLevel="2">
      <c r="A189" s="363"/>
      <c r="B189" s="365"/>
      <c r="C189" s="151"/>
      <c r="D189" s="115"/>
      <c r="E189" s="616" t="s">
        <v>970</v>
      </c>
      <c r="F189" s="616"/>
      <c r="G189" s="616"/>
      <c r="H189" s="616"/>
      <c r="I189" s="616"/>
      <c r="J189" s="616"/>
      <c r="K189" s="616"/>
      <c r="L189" s="616"/>
      <c r="M189" s="115"/>
      <c r="O189" s="190"/>
    </row>
    <row r="190" spans="1:15" s="399" customFormat="1" outlineLevel="2">
      <c r="A190" s="363"/>
      <c r="B190" s="365"/>
      <c r="C190" s="151"/>
      <c r="D190" s="115"/>
      <c r="E190" s="477"/>
      <c r="F190" s="477"/>
      <c r="G190" s="477"/>
      <c r="H190" s="477"/>
      <c r="I190" s="477"/>
      <c r="J190" s="477"/>
      <c r="K190" s="477"/>
      <c r="L190" s="477"/>
      <c r="M190" s="115"/>
      <c r="O190" s="190"/>
    </row>
    <row r="191" spans="1:15" ht="15" outlineLevel="1" thickBot="1">
      <c r="A191" s="363"/>
      <c r="B191" s="365"/>
      <c r="C191" s="151"/>
      <c r="D191" s="115"/>
      <c r="E191" s="615" t="s">
        <v>478</v>
      </c>
      <c r="F191" s="615"/>
      <c r="G191" s="615"/>
      <c r="H191" s="615"/>
      <c r="I191" s="615"/>
      <c r="J191" s="615"/>
      <c r="K191" s="615"/>
      <c r="L191" s="615"/>
      <c r="M191" s="115"/>
      <c r="O191" s="190"/>
    </row>
    <row r="192" spans="1:15" outlineLevel="2">
      <c r="A192" s="363"/>
      <c r="B192" s="365"/>
      <c r="C192" s="151"/>
      <c r="D192" s="115"/>
      <c r="E192" s="119" t="s">
        <v>472</v>
      </c>
      <c r="F192" s="130">
        <v>2019</v>
      </c>
      <c r="G192" s="130">
        <v>2025</v>
      </c>
      <c r="H192" s="130">
        <v>2030</v>
      </c>
      <c r="I192" s="130">
        <v>2035</v>
      </c>
      <c r="J192" s="130">
        <v>2040</v>
      </c>
      <c r="K192" s="130">
        <v>2045</v>
      </c>
      <c r="L192" s="131">
        <v>2050</v>
      </c>
      <c r="M192" s="115"/>
      <c r="O192" s="190"/>
    </row>
    <row r="193" spans="1:15" outlineLevel="2">
      <c r="A193" s="363"/>
      <c r="B193" s="365"/>
      <c r="C193" s="151"/>
      <c r="D193" s="115"/>
      <c r="E193" s="122" t="s">
        <v>479</v>
      </c>
      <c r="F193" s="245">
        <v>16.271986293000001</v>
      </c>
      <c r="G193" s="246">
        <v>14.8</v>
      </c>
      <c r="H193" s="246">
        <v>15.2</v>
      </c>
      <c r="I193" s="246">
        <v>14.1</v>
      </c>
      <c r="J193" s="246">
        <v>13.5</v>
      </c>
      <c r="K193" s="246">
        <v>14.4</v>
      </c>
      <c r="L193" s="246">
        <v>14.5</v>
      </c>
      <c r="M193" s="115"/>
      <c r="O193" s="190"/>
    </row>
    <row r="194" spans="1:15" outlineLevel="2">
      <c r="A194" s="363"/>
      <c r="B194" s="365"/>
      <c r="C194" s="151"/>
      <c r="D194" s="115"/>
      <c r="E194" s="122" t="s">
        <v>480</v>
      </c>
      <c r="F194" s="245">
        <v>36.899155461500001</v>
      </c>
      <c r="G194" s="246">
        <v>40.700000000000003</v>
      </c>
      <c r="H194" s="246">
        <v>45.3</v>
      </c>
      <c r="I194" s="246">
        <v>46.5</v>
      </c>
      <c r="J194" s="246">
        <v>48.8</v>
      </c>
      <c r="K194" s="246">
        <v>54.9</v>
      </c>
      <c r="L194" s="246">
        <v>55.2</v>
      </c>
      <c r="M194" s="115"/>
      <c r="O194" s="190"/>
    </row>
    <row r="195" spans="1:15" outlineLevel="2">
      <c r="A195" s="363"/>
      <c r="B195" s="365"/>
      <c r="C195" s="151"/>
      <c r="D195" s="115"/>
      <c r="E195" s="122" t="s">
        <v>481</v>
      </c>
      <c r="F195" s="245">
        <v>183.644967334</v>
      </c>
      <c r="G195" s="246">
        <v>198</v>
      </c>
      <c r="H195" s="246">
        <v>218</v>
      </c>
      <c r="I195" s="246">
        <v>222</v>
      </c>
      <c r="J195" s="246">
        <v>231</v>
      </c>
      <c r="K195" s="246">
        <v>257</v>
      </c>
      <c r="L195" s="246">
        <v>259</v>
      </c>
      <c r="M195" s="115"/>
      <c r="O195" s="190"/>
    </row>
    <row r="196" spans="1:15" outlineLevel="2">
      <c r="A196" s="363"/>
      <c r="B196" s="365"/>
      <c r="C196" s="151"/>
      <c r="D196" s="115"/>
      <c r="E196" s="129" t="s">
        <v>482</v>
      </c>
      <c r="F196" s="241">
        <v>236.81610908850001</v>
      </c>
      <c r="G196" s="242">
        <v>253.4</v>
      </c>
      <c r="H196" s="242">
        <v>278.39999999999998</v>
      </c>
      <c r="I196" s="242">
        <v>282.5</v>
      </c>
      <c r="J196" s="242">
        <v>292.89999999999998</v>
      </c>
      <c r="K196" s="242">
        <v>326.39999999999998</v>
      </c>
      <c r="L196" s="242">
        <v>328.7</v>
      </c>
      <c r="M196" s="115"/>
      <c r="O196" s="190"/>
    </row>
    <row r="197" spans="1:15" outlineLevel="2">
      <c r="A197" s="363"/>
      <c r="B197" s="365"/>
      <c r="C197" s="151"/>
      <c r="D197" s="115"/>
      <c r="E197" s="639"/>
      <c r="F197" s="639"/>
      <c r="G197" s="639"/>
      <c r="H197" s="639"/>
      <c r="I197" s="639"/>
      <c r="J197" s="639"/>
      <c r="K197" s="639"/>
      <c r="L197" s="639"/>
      <c r="M197" s="115"/>
      <c r="O197" s="190"/>
    </row>
    <row r="198" spans="1:15" outlineLevel="1">
      <c r="A198" s="363"/>
      <c r="B198" s="365"/>
      <c r="C198" s="151"/>
      <c r="D198" s="115"/>
      <c r="E198" s="142"/>
      <c r="F198" s="142"/>
      <c r="G198" s="142"/>
      <c r="H198" s="142"/>
      <c r="I198" s="142"/>
      <c r="J198" s="142"/>
      <c r="K198" s="142"/>
      <c r="L198" s="142"/>
      <c r="M198" s="115"/>
      <c r="O198" s="190"/>
    </row>
    <row r="199" spans="1:15" ht="28.8" thickBot="1">
      <c r="A199" s="363"/>
      <c r="B199" s="365"/>
      <c r="C199" s="151" t="str">
        <f t="shared" si="6"/>
        <v>Aérien</v>
      </c>
      <c r="D199" s="369"/>
      <c r="E199" s="370"/>
      <c r="F199" s="617" t="s">
        <v>469</v>
      </c>
      <c r="G199" s="617"/>
      <c r="H199" s="617"/>
      <c r="I199" s="617"/>
      <c r="J199" s="617"/>
      <c r="K199" s="617"/>
      <c r="L199" s="617"/>
      <c r="M199" s="617"/>
      <c r="O199" s="189"/>
    </row>
    <row r="200" spans="1:15" ht="15" thickTop="1">
      <c r="A200" s="363"/>
      <c r="B200" s="365"/>
      <c r="C200" s="151" t="str">
        <f t="shared" si="6"/>
        <v/>
      </c>
      <c r="D200" s="203"/>
      <c r="E200" s="203"/>
      <c r="F200" s="203"/>
      <c r="O200" s="189"/>
    </row>
    <row r="201" spans="1:15" ht="14.4" customHeight="1" outlineLevel="1">
      <c r="A201" s="363"/>
      <c r="B201" s="365"/>
      <c r="C201" s="151" t="str">
        <f t="shared" si="6"/>
        <v/>
      </c>
      <c r="D201" s="115"/>
      <c r="E201" s="115"/>
      <c r="F201" s="115"/>
      <c r="G201" s="115"/>
      <c r="H201" s="115"/>
      <c r="I201" s="115"/>
      <c r="J201" s="115"/>
      <c r="K201" s="115"/>
      <c r="L201" s="115"/>
      <c r="M201" s="115"/>
      <c r="O201" s="189"/>
    </row>
    <row r="202" spans="1:15" ht="15.6" customHeight="1" outlineLevel="1">
      <c r="A202" s="363"/>
      <c r="B202" s="365"/>
      <c r="C202" s="151" t="str">
        <f t="shared" ref="C202:C231" si="7">IF(ISBLANK(E202),IF(ISBLANK(F202),"",F202),E202)</f>
        <v xml:space="preserve">Commentaire
IGCE = 
Diffus = </v>
      </c>
      <c r="D202" s="115"/>
      <c r="E202" s="611" t="s">
        <v>140</v>
      </c>
      <c r="F202" s="611"/>
      <c r="G202" s="611"/>
      <c r="H202" s="611"/>
      <c r="I202" s="611"/>
      <c r="J202" s="611"/>
      <c r="K202" s="611"/>
      <c r="L202" s="611"/>
      <c r="M202" s="115"/>
      <c r="O202" s="190"/>
    </row>
    <row r="203" spans="1:15" ht="45" customHeight="1" outlineLevel="1">
      <c r="A203" s="363"/>
      <c r="B203" s="365"/>
      <c r="C203" s="151" t="str">
        <f t="shared" si="7"/>
        <v xml:space="preserve">Concernant le développement des carburants durables, le règlement Refuel Aviation adopté en 2023 est pris en compte dans son intégralité. La trajectoire d’incorporation des carburants durables croît ainsi à 6% en 2030, 20% en 2035 et 70% en 2050.
</v>
      </c>
      <c r="D203" s="115"/>
      <c r="E203" s="613" t="s">
        <v>850</v>
      </c>
      <c r="F203" s="613"/>
      <c r="G203" s="613"/>
      <c r="H203" s="613"/>
      <c r="I203" s="613"/>
      <c r="J203" s="613"/>
      <c r="K203" s="613"/>
      <c r="L203" s="613"/>
      <c r="M203" s="115"/>
      <c r="O203" s="189"/>
    </row>
    <row r="204" spans="1:15" ht="14.4" customHeight="1" outlineLevel="1">
      <c r="A204" s="363"/>
      <c r="B204" s="365"/>
      <c r="C204" s="151" t="str">
        <f t="shared" si="7"/>
        <v/>
      </c>
      <c r="D204" s="115"/>
      <c r="E204" s="142"/>
      <c r="F204" s="142"/>
      <c r="G204" s="142"/>
      <c r="H204" s="142"/>
      <c r="I204" s="142"/>
      <c r="J204" s="142"/>
      <c r="K204" s="142"/>
      <c r="L204" s="142"/>
      <c r="M204" s="115"/>
      <c r="O204" s="190"/>
    </row>
    <row r="205" spans="1:15" ht="15" customHeight="1" outlineLevel="1" thickBot="1">
      <c r="A205" s="363"/>
      <c r="B205" s="365"/>
      <c r="C205" s="151" t="str">
        <f t="shared" si="7"/>
        <v>Mix énergétique dans l'aérien (%)</v>
      </c>
      <c r="D205" s="115"/>
      <c r="E205" s="615" t="s">
        <v>851</v>
      </c>
      <c r="F205" s="615"/>
      <c r="G205" s="615"/>
      <c r="H205" s="615"/>
      <c r="I205" s="615"/>
      <c r="J205" s="615"/>
      <c r="K205" s="615"/>
      <c r="L205" s="615"/>
      <c r="M205" s="115"/>
      <c r="O205" s="190"/>
    </row>
    <row r="206" spans="1:15" ht="14.4" customHeight="1" outlineLevel="2">
      <c r="A206" s="363"/>
      <c r="B206" s="365"/>
      <c r="C206" s="151" t="str">
        <f t="shared" si="7"/>
        <v>%</v>
      </c>
      <c r="D206" s="115"/>
      <c r="E206" s="119" t="s">
        <v>121</v>
      </c>
      <c r="F206" s="130">
        <v>2021</v>
      </c>
      <c r="G206" s="130">
        <v>2025</v>
      </c>
      <c r="H206" s="130">
        <v>2030</v>
      </c>
      <c r="I206" s="130">
        <v>2035</v>
      </c>
      <c r="J206" s="130">
        <v>2040</v>
      </c>
      <c r="K206" s="130">
        <v>2045</v>
      </c>
      <c r="L206" s="131">
        <v>2050</v>
      </c>
      <c r="M206" s="115"/>
      <c r="O206" s="189"/>
    </row>
    <row r="207" spans="1:15" ht="14.4" customHeight="1" outlineLevel="2">
      <c r="A207" s="363"/>
      <c r="B207" s="365"/>
      <c r="C207" s="151" t="str">
        <f t="shared" si="7"/>
        <v xml:space="preserve">Biocarburants </v>
      </c>
      <c r="D207" s="115"/>
      <c r="E207" s="179" t="s">
        <v>483</v>
      </c>
      <c r="F207" s="177">
        <v>0</v>
      </c>
      <c r="G207" s="174">
        <v>0.02</v>
      </c>
      <c r="H207" s="174">
        <v>0.05</v>
      </c>
      <c r="I207" s="174">
        <v>0.15</v>
      </c>
      <c r="J207" s="174">
        <v>0.23</v>
      </c>
      <c r="K207" s="174">
        <v>0.25</v>
      </c>
      <c r="L207" s="174">
        <v>0.28999999999999998</v>
      </c>
      <c r="M207" s="115"/>
      <c r="O207" s="189"/>
    </row>
    <row r="208" spans="1:15" ht="14.4" customHeight="1" outlineLevel="2">
      <c r="A208" s="363"/>
      <c r="B208" s="365"/>
      <c r="C208" s="151" t="str">
        <f t="shared" si="7"/>
        <v xml:space="preserve">PtL </v>
      </c>
      <c r="D208" s="115"/>
      <c r="E208" s="179" t="s">
        <v>484</v>
      </c>
      <c r="F208" s="177">
        <v>0</v>
      </c>
      <c r="G208" s="174">
        <v>0</v>
      </c>
      <c r="H208" s="174">
        <v>0.01</v>
      </c>
      <c r="I208" s="174">
        <v>0.05</v>
      </c>
      <c r="J208" s="174">
        <v>0.11</v>
      </c>
      <c r="K208" s="174">
        <v>0.14000000000000001</v>
      </c>
      <c r="L208" s="174">
        <v>0.35</v>
      </c>
      <c r="M208" s="115"/>
      <c r="O208" s="191"/>
    </row>
    <row r="209" spans="1:15" ht="14.4" customHeight="1" outlineLevel="2">
      <c r="A209" s="363"/>
      <c r="B209" s="365"/>
      <c r="C209" s="151" t="str">
        <f t="shared" si="7"/>
        <v xml:space="preserve">H2 </v>
      </c>
      <c r="D209" s="115"/>
      <c r="E209" s="179" t="s">
        <v>485</v>
      </c>
      <c r="F209" s="177">
        <v>0</v>
      </c>
      <c r="G209" s="174">
        <v>0</v>
      </c>
      <c r="H209" s="174">
        <v>0</v>
      </c>
      <c r="I209" s="174">
        <v>0</v>
      </c>
      <c r="J209" s="174">
        <v>0.01</v>
      </c>
      <c r="K209" s="174">
        <v>0.02</v>
      </c>
      <c r="L209" s="174">
        <v>0.06</v>
      </c>
      <c r="M209" s="115"/>
      <c r="O209" s="191"/>
    </row>
    <row r="210" spans="1:15" ht="14.4" customHeight="1" outlineLevel="2" thickBot="1">
      <c r="A210" s="363"/>
      <c r="B210" s="365"/>
      <c r="C210" s="151" t="str">
        <f t="shared" si="7"/>
        <v>kérosène fossile</v>
      </c>
      <c r="D210" s="115"/>
      <c r="E210" s="179" t="s">
        <v>486</v>
      </c>
      <c r="F210" s="177">
        <v>1</v>
      </c>
      <c r="G210" s="174">
        <v>0.98</v>
      </c>
      <c r="H210" s="174">
        <v>0.94</v>
      </c>
      <c r="I210" s="174">
        <v>0.8</v>
      </c>
      <c r="J210" s="174">
        <v>0.66</v>
      </c>
      <c r="K210" s="174">
        <v>0.57999999999999996</v>
      </c>
      <c r="L210" s="174">
        <v>0.3</v>
      </c>
      <c r="M210" s="115"/>
      <c r="O210" s="191"/>
    </row>
    <row r="211" spans="1:15" outlineLevel="2">
      <c r="A211" s="363"/>
      <c r="B211" s="365"/>
      <c r="C211" s="151" t="str">
        <f t="shared" si="7"/>
        <v/>
      </c>
      <c r="D211" s="115"/>
      <c r="E211" s="616"/>
      <c r="F211" s="616"/>
      <c r="G211" s="616"/>
      <c r="H211" s="616"/>
      <c r="I211" s="616"/>
      <c r="J211" s="616"/>
      <c r="K211" s="616"/>
      <c r="L211" s="616"/>
      <c r="M211" s="115"/>
    </row>
    <row r="212" spans="1:15" ht="15" outlineLevel="1" thickBot="1">
      <c r="A212" s="363"/>
      <c r="B212" s="365"/>
      <c r="C212" s="151" t="str">
        <f t="shared" si="7"/>
        <v>Consommation des soutes aériennes internationales (TWh)</v>
      </c>
      <c r="D212" s="115"/>
      <c r="E212" s="615" t="s">
        <v>487</v>
      </c>
      <c r="F212" s="615"/>
      <c r="G212" s="615"/>
      <c r="H212" s="615"/>
      <c r="I212" s="615"/>
      <c r="J212" s="615"/>
      <c r="K212" s="615"/>
      <c r="L212" s="615"/>
      <c r="M212" s="115"/>
    </row>
    <row r="213" spans="1:15" outlineLevel="2">
      <c r="A213" s="363"/>
      <c r="B213" s="365"/>
      <c r="C213" s="151"/>
      <c r="D213" s="115"/>
      <c r="E213" s="119" t="s">
        <v>184</v>
      </c>
      <c r="F213" s="130">
        <v>2021</v>
      </c>
      <c r="G213" s="130">
        <v>2025</v>
      </c>
      <c r="H213" s="130">
        <v>2030</v>
      </c>
      <c r="I213" s="130">
        <v>2035</v>
      </c>
      <c r="J213" s="130">
        <v>2040</v>
      </c>
      <c r="K213" s="130">
        <v>2045</v>
      </c>
      <c r="L213" s="131">
        <v>2050</v>
      </c>
      <c r="M213" s="115"/>
    </row>
    <row r="214" spans="1:15" outlineLevel="2">
      <c r="A214" s="363"/>
      <c r="B214" s="365"/>
      <c r="C214" s="151"/>
      <c r="D214" s="115"/>
      <c r="E214" s="261" t="s">
        <v>483</v>
      </c>
      <c r="F214" s="245">
        <v>0</v>
      </c>
      <c r="G214" s="246">
        <v>1</v>
      </c>
      <c r="H214" s="246">
        <v>4</v>
      </c>
      <c r="I214" s="246">
        <v>11</v>
      </c>
      <c r="J214" s="246">
        <v>16</v>
      </c>
      <c r="K214" s="246">
        <v>18</v>
      </c>
      <c r="L214" s="246">
        <v>20</v>
      </c>
      <c r="M214" s="115"/>
    </row>
    <row r="215" spans="1:15" outlineLevel="2">
      <c r="A215" s="363"/>
      <c r="B215" s="365"/>
      <c r="C215" s="151"/>
      <c r="D215" s="115"/>
      <c r="E215" s="261" t="s">
        <v>488</v>
      </c>
      <c r="F215" s="245">
        <v>0</v>
      </c>
      <c r="G215" s="246">
        <v>0</v>
      </c>
      <c r="H215" s="246">
        <v>1</v>
      </c>
      <c r="I215" s="246">
        <v>4</v>
      </c>
      <c r="J215" s="246">
        <v>7</v>
      </c>
      <c r="K215" s="246">
        <v>11</v>
      </c>
      <c r="L215" s="246">
        <v>24</v>
      </c>
      <c r="M215" s="115"/>
    </row>
    <row r="216" spans="1:15" outlineLevel="2">
      <c r="A216" s="363"/>
      <c r="B216" s="365"/>
      <c r="C216" s="151"/>
      <c r="D216" s="115"/>
      <c r="E216" s="261" t="s">
        <v>485</v>
      </c>
      <c r="F216" s="245">
        <v>0</v>
      </c>
      <c r="G216" s="246">
        <v>0</v>
      </c>
      <c r="H216" s="246">
        <v>0</v>
      </c>
      <c r="I216" s="246">
        <v>0</v>
      </c>
      <c r="J216" s="246">
        <v>0</v>
      </c>
      <c r="K216" s="246">
        <v>2</v>
      </c>
      <c r="L216" s="246">
        <v>4</v>
      </c>
      <c r="M216" s="115"/>
    </row>
    <row r="217" spans="1:15" outlineLevel="2">
      <c r="A217" s="363"/>
      <c r="B217" s="365"/>
      <c r="C217" s="151"/>
      <c r="D217" s="115"/>
      <c r="E217" s="261" t="s">
        <v>489</v>
      </c>
      <c r="F217" s="245">
        <v>35</v>
      </c>
      <c r="G217" s="246">
        <v>71</v>
      </c>
      <c r="H217" s="246">
        <v>71</v>
      </c>
      <c r="I217" s="246">
        <v>57</v>
      </c>
      <c r="J217" s="246">
        <v>46</v>
      </c>
      <c r="K217" s="246">
        <v>42</v>
      </c>
      <c r="L217" s="246">
        <v>21</v>
      </c>
      <c r="M217" s="115"/>
    </row>
    <row r="218" spans="1:15" outlineLevel="2">
      <c r="A218" s="363"/>
      <c r="B218" s="365"/>
      <c r="C218" s="151"/>
      <c r="D218" s="115"/>
      <c r="E218" s="261" t="s">
        <v>490</v>
      </c>
      <c r="F218" s="245">
        <v>35</v>
      </c>
      <c r="G218" s="246">
        <v>73</v>
      </c>
      <c r="H218" s="246">
        <v>75</v>
      </c>
      <c r="I218" s="246">
        <v>72</v>
      </c>
      <c r="J218" s="246">
        <v>70</v>
      </c>
      <c r="K218" s="246">
        <v>73</v>
      </c>
      <c r="L218" s="246">
        <v>69</v>
      </c>
      <c r="M218" s="115"/>
    </row>
    <row r="219" spans="1:15" outlineLevel="2">
      <c r="A219" s="363"/>
      <c r="B219" s="365"/>
      <c r="C219" s="151"/>
      <c r="D219" s="115"/>
      <c r="E219" s="142"/>
      <c r="F219" s="142"/>
      <c r="G219" s="142"/>
      <c r="H219" s="142"/>
      <c r="I219" s="142"/>
      <c r="J219" s="142"/>
      <c r="K219" s="142"/>
      <c r="L219" s="142"/>
      <c r="M219" s="115"/>
    </row>
    <row r="220" spans="1:15" outlineLevel="1">
      <c r="A220" s="363"/>
      <c r="B220" s="365"/>
      <c r="C220" s="151"/>
      <c r="D220" s="115"/>
      <c r="E220" s="142"/>
      <c r="F220" s="142"/>
      <c r="G220" s="142"/>
      <c r="H220" s="142"/>
      <c r="I220" s="142"/>
      <c r="J220" s="142"/>
      <c r="K220" s="142"/>
      <c r="L220" s="142"/>
      <c r="M220" s="115"/>
    </row>
    <row r="221" spans="1:15" ht="28.8" thickBot="1">
      <c r="A221" s="363"/>
      <c r="B221" s="365"/>
      <c r="C221" s="151" t="str">
        <f t="shared" si="7"/>
        <v>Maritime</v>
      </c>
      <c r="D221" s="369"/>
      <c r="E221" s="370"/>
      <c r="F221" s="617" t="s">
        <v>491</v>
      </c>
      <c r="G221" s="617"/>
      <c r="H221" s="617"/>
      <c r="I221" s="617"/>
      <c r="J221" s="617"/>
      <c r="K221" s="617"/>
      <c r="L221" s="617"/>
      <c r="M221" s="617"/>
    </row>
    <row r="222" spans="1:15" ht="15" thickTop="1">
      <c r="A222" s="363"/>
      <c r="B222" s="365"/>
      <c r="C222" s="151" t="str">
        <f t="shared" si="7"/>
        <v/>
      </c>
      <c r="D222" s="203"/>
      <c r="E222" s="203"/>
      <c r="F222" s="203"/>
    </row>
    <row r="223" spans="1:15" outlineLevel="1">
      <c r="A223" s="126"/>
      <c r="B223" s="118"/>
      <c r="C223" s="151" t="str">
        <f t="shared" si="7"/>
        <v/>
      </c>
      <c r="D223" s="115"/>
      <c r="E223" s="142"/>
      <c r="F223" s="142"/>
      <c r="G223" s="142"/>
      <c r="H223" s="142"/>
      <c r="I223" s="142"/>
      <c r="J223" s="142"/>
      <c r="K223" s="142"/>
      <c r="L223" s="142"/>
      <c r="M223" s="115"/>
    </row>
    <row r="224" spans="1:15" outlineLevel="1">
      <c r="A224" s="126"/>
      <c r="B224" s="118"/>
      <c r="C224" s="151" t="str">
        <f t="shared" si="7"/>
        <v/>
      </c>
      <c r="D224" s="115"/>
      <c r="E224" s="142"/>
      <c r="F224" s="142"/>
      <c r="G224" s="142"/>
      <c r="H224" s="142"/>
      <c r="I224" s="142"/>
      <c r="J224" s="142"/>
      <c r="K224" s="142"/>
      <c r="L224" s="142"/>
      <c r="M224" s="115"/>
    </row>
    <row r="225" spans="1:13" ht="15" outlineLevel="1" thickBot="1">
      <c r="A225" s="126"/>
      <c r="B225" s="118"/>
      <c r="C225" s="151" t="str">
        <f t="shared" si="7"/>
        <v>Consommation des soutes maritimes internationales</v>
      </c>
      <c r="D225" s="115"/>
      <c r="E225" s="615" t="s">
        <v>494</v>
      </c>
      <c r="F225" s="615"/>
      <c r="G225" s="615"/>
      <c r="H225" s="615"/>
      <c r="I225" s="615"/>
      <c r="J225" s="615"/>
      <c r="K225" s="615"/>
      <c r="L225" s="615"/>
      <c r="M225" s="115"/>
    </row>
    <row r="226" spans="1:13" outlineLevel="2">
      <c r="A226" s="126"/>
      <c r="B226" s="118"/>
      <c r="C226" s="151" t="str">
        <f t="shared" si="7"/>
        <v>TWh</v>
      </c>
      <c r="D226" s="115"/>
      <c r="E226" s="119" t="s">
        <v>184</v>
      </c>
      <c r="F226" s="130">
        <v>2021</v>
      </c>
      <c r="G226" s="130">
        <v>2025</v>
      </c>
      <c r="H226" s="130">
        <v>2030</v>
      </c>
      <c r="I226" s="130">
        <v>2035</v>
      </c>
      <c r="J226" s="130">
        <v>2040</v>
      </c>
      <c r="K226" s="130">
        <v>2045</v>
      </c>
      <c r="L226" s="131">
        <v>2050</v>
      </c>
      <c r="M226" s="115"/>
    </row>
    <row r="227" spans="1:13" outlineLevel="2">
      <c r="A227" s="126"/>
      <c r="B227" s="118"/>
      <c r="C227" s="151" t="str">
        <f t="shared" si="7"/>
        <v>Soutes maritimes internationales  (TWh)</v>
      </c>
      <c r="D227" s="115"/>
      <c r="E227" s="122" t="s">
        <v>896</v>
      </c>
      <c r="F227" s="245">
        <v>12.4</v>
      </c>
      <c r="G227" s="246">
        <v>17.8</v>
      </c>
      <c r="H227" s="246">
        <v>16</v>
      </c>
      <c r="I227" s="246">
        <v>14.6</v>
      </c>
      <c r="J227" s="246">
        <v>14.6</v>
      </c>
      <c r="K227" s="246">
        <v>14.6</v>
      </c>
      <c r="L227" s="246">
        <v>14.6</v>
      </c>
      <c r="M227" s="115"/>
    </row>
    <row r="228" spans="1:13" outlineLevel="2">
      <c r="A228" s="126"/>
      <c r="B228" s="118"/>
      <c r="C228" s="151" t="str">
        <f t="shared" si="7"/>
        <v>% e-fuel</v>
      </c>
      <c r="D228" s="115"/>
      <c r="E228" s="122" t="s">
        <v>492</v>
      </c>
      <c r="F228" s="177">
        <v>0</v>
      </c>
      <c r="G228" s="174">
        <v>0</v>
      </c>
      <c r="H228" s="174">
        <v>0.01</v>
      </c>
      <c r="I228" s="174">
        <v>0.08</v>
      </c>
      <c r="J228" s="174">
        <v>0.21</v>
      </c>
      <c r="K228" s="174">
        <v>0.63</v>
      </c>
      <c r="L228" s="174">
        <v>0.74</v>
      </c>
      <c r="M228" s="115"/>
    </row>
    <row r="229" spans="1:13" ht="15" outlineLevel="2" thickBot="1">
      <c r="A229" s="126"/>
      <c r="B229" s="118"/>
      <c r="C229" s="151" t="str">
        <f t="shared" si="7"/>
        <v>% biocarburants</v>
      </c>
      <c r="D229" s="115"/>
      <c r="E229" s="122" t="s">
        <v>493</v>
      </c>
      <c r="F229" s="177">
        <v>0</v>
      </c>
      <c r="G229" s="174">
        <v>0.04</v>
      </c>
      <c r="H229" s="174">
        <v>0.09</v>
      </c>
      <c r="I229" s="174">
        <v>0.12</v>
      </c>
      <c r="J229" s="174">
        <v>0.22</v>
      </c>
      <c r="K229" s="174">
        <v>0.24</v>
      </c>
      <c r="L229" s="174">
        <v>0.26</v>
      </c>
      <c r="M229" s="115"/>
    </row>
    <row r="230" spans="1:13" outlineLevel="2">
      <c r="A230" s="126"/>
      <c r="B230" s="118"/>
      <c r="C230" s="151" t="str">
        <f t="shared" si="7"/>
        <v/>
      </c>
      <c r="D230" s="115"/>
      <c r="E230" s="616"/>
      <c r="F230" s="616"/>
      <c r="G230" s="616"/>
      <c r="H230" s="616"/>
      <c r="I230" s="616"/>
      <c r="J230" s="616"/>
      <c r="K230" s="616"/>
      <c r="L230" s="616"/>
      <c r="M230" s="115"/>
    </row>
    <row r="231" spans="1:13" outlineLevel="1">
      <c r="A231" s="126"/>
      <c r="B231" s="118"/>
      <c r="C231" s="151" t="str">
        <f t="shared" si="7"/>
        <v/>
      </c>
      <c r="D231" s="115"/>
      <c r="E231" s="142"/>
      <c r="F231" s="142"/>
      <c r="G231" s="142"/>
      <c r="H231" s="142"/>
      <c r="I231" s="142"/>
      <c r="J231" s="142"/>
      <c r="K231" s="142"/>
      <c r="L231" s="142"/>
      <c r="M231" s="115"/>
    </row>
    <row r="232" spans="1:13">
      <c r="A232" s="114"/>
      <c r="C232" s="151" t="str">
        <f t="shared" ref="C232:C280" si="8">IF(ISBLANK(E232),IF(ISBLANK(F232),"",F232),E232)</f>
        <v/>
      </c>
      <c r="D232" s="629"/>
      <c r="E232" s="629"/>
      <c r="F232" s="629"/>
      <c r="G232" s="629"/>
      <c r="H232" s="203"/>
      <c r="I232" s="203"/>
      <c r="J232" s="203"/>
    </row>
    <row r="233" spans="1:13" ht="28.8" thickBot="1">
      <c r="A233" s="366"/>
      <c r="C233" s="151" t="str">
        <f t="shared" si="8"/>
        <v>Résultats</v>
      </c>
      <c r="D233" s="371"/>
      <c r="E233" s="635" t="s">
        <v>137</v>
      </c>
      <c r="F233" s="635"/>
      <c r="G233" s="635"/>
      <c r="H233" s="635"/>
      <c r="I233" s="635"/>
      <c r="J233" s="635"/>
      <c r="K233" s="635"/>
      <c r="L233" s="635"/>
      <c r="M233" s="371"/>
    </row>
    <row r="234" spans="1:13" ht="15" thickTop="1">
      <c r="A234" s="366"/>
      <c r="C234" s="151" t="str">
        <f t="shared" si="8"/>
        <v/>
      </c>
      <c r="D234" s="3"/>
      <c r="E234" s="3"/>
      <c r="F234" s="3"/>
      <c r="G234" s="3"/>
      <c r="H234" s="3"/>
      <c r="I234" s="3"/>
      <c r="J234" s="3"/>
      <c r="K234" s="3"/>
      <c r="L234" s="3"/>
      <c r="M234" s="3"/>
    </row>
    <row r="235" spans="1:13" ht="15.6">
      <c r="A235" s="366"/>
      <c r="C235" s="151" t="str">
        <f t="shared" si="8"/>
        <v/>
      </c>
      <c r="D235" s="112"/>
      <c r="E235" s="113"/>
      <c r="F235" s="113"/>
      <c r="G235" s="113"/>
      <c r="H235" s="113"/>
      <c r="I235" s="113"/>
      <c r="J235" s="113"/>
      <c r="K235" s="113"/>
      <c r="L235" s="113"/>
      <c r="M235" s="3"/>
    </row>
    <row r="236" spans="1:13" ht="28.8" thickBot="1">
      <c r="A236" s="366"/>
      <c r="B236" s="367"/>
      <c r="C236" s="151" t="str">
        <f t="shared" si="8"/>
        <v>Consommations d'énergie</v>
      </c>
      <c r="D236" s="371"/>
      <c r="E236" s="372"/>
      <c r="F236" s="635" t="s">
        <v>141</v>
      </c>
      <c r="G236" s="635"/>
      <c r="H236" s="635"/>
      <c r="I236" s="635"/>
      <c r="J236" s="635"/>
      <c r="K236" s="635"/>
      <c r="L236" s="635"/>
      <c r="M236" s="635"/>
    </row>
    <row r="237" spans="1:13" ht="15" thickTop="1">
      <c r="A237" s="366"/>
      <c r="B237" s="367"/>
      <c r="C237" s="151" t="str">
        <f t="shared" si="8"/>
        <v/>
      </c>
    </row>
    <row r="238" spans="1:13" outlineLevel="1">
      <c r="A238" s="366"/>
      <c r="B238" s="367"/>
      <c r="C238" s="151" t="str">
        <f t="shared" si="8"/>
        <v/>
      </c>
      <c r="D238" s="115"/>
      <c r="E238" s="115"/>
      <c r="F238" s="115"/>
      <c r="G238" s="115"/>
      <c r="H238" s="115"/>
      <c r="I238" s="115"/>
      <c r="J238" s="115"/>
      <c r="K238" s="115"/>
      <c r="L238" s="115"/>
      <c r="M238" s="115"/>
    </row>
    <row r="239" spans="1:13" ht="15" outlineLevel="1" thickBot="1">
      <c r="A239" s="366"/>
      <c r="B239" s="367"/>
      <c r="C239" s="151" t="str">
        <f t="shared" si="8"/>
        <v>Evolution des consommations d'énergie (TWh)</v>
      </c>
      <c r="D239" s="115"/>
      <c r="E239" s="615" t="s">
        <v>304</v>
      </c>
      <c r="F239" s="615"/>
      <c r="G239" s="615"/>
      <c r="H239" s="615"/>
      <c r="I239" s="615"/>
      <c r="J239" s="615"/>
      <c r="K239" s="615"/>
      <c r="L239" s="615"/>
      <c r="M239" s="115"/>
    </row>
    <row r="240" spans="1:13" outlineLevel="2">
      <c r="A240" s="366"/>
      <c r="B240" s="367"/>
      <c r="C240" s="151" t="str">
        <f t="shared" si="8"/>
        <v>TWh PCI</v>
      </c>
      <c r="D240" s="115"/>
      <c r="E240" s="227" t="s">
        <v>1103</v>
      </c>
      <c r="F240" s="120">
        <v>2021</v>
      </c>
      <c r="G240" s="120">
        <v>2025</v>
      </c>
      <c r="H240" s="120">
        <v>2030</v>
      </c>
      <c r="I240" s="120">
        <v>2035</v>
      </c>
      <c r="J240" s="120">
        <v>2040</v>
      </c>
      <c r="K240" s="120">
        <v>2045</v>
      </c>
      <c r="L240" s="121">
        <v>2050</v>
      </c>
      <c r="M240" s="115"/>
    </row>
    <row r="241" spans="1:13" outlineLevel="2">
      <c r="A241" s="366"/>
      <c r="B241" s="367"/>
      <c r="C241" s="151" t="str">
        <f t="shared" si="8"/>
        <v>Charbon</v>
      </c>
      <c r="D241" s="116"/>
      <c r="E241" s="122" t="s">
        <v>185</v>
      </c>
      <c r="F241" s="391">
        <f t="array" ref="F241:F258">TRANSPOSE(Bilans!F114:W114)</f>
        <v>0</v>
      </c>
      <c r="G241" s="186">
        <f t="array" ref="G241:G258">TRANSPOSE(Bilans!F184:W184)</f>
        <v>0</v>
      </c>
      <c r="H241" s="186">
        <f t="array" ref="H241:H258">TRANSPOSE(Bilans!F254:W254)</f>
        <v>0</v>
      </c>
      <c r="I241" s="186">
        <f t="array" ref="I241:I258">TRANSPOSE(Bilans!F324:W324)</f>
        <v>0</v>
      </c>
      <c r="J241" s="186">
        <f t="array" ref="J241:J258">TRANSPOSE(Bilans!F394:W394)</f>
        <v>0</v>
      </c>
      <c r="K241" s="186">
        <f t="array" ref="K241:K258">TRANSPOSE(Bilans!F464:W464)</f>
        <v>0</v>
      </c>
      <c r="L241" s="187">
        <f t="array" ref="L241:L258">TRANSPOSE(Bilans!F499:W499)</f>
        <v>0</v>
      </c>
      <c r="M241" s="115"/>
    </row>
    <row r="242" spans="1:13" outlineLevel="2">
      <c r="A242" s="366"/>
      <c r="B242" s="367"/>
      <c r="C242" s="151" t="str">
        <f t="shared" si="8"/>
        <v>Pétrole brut</v>
      </c>
      <c r="D242" s="117"/>
      <c r="E242" s="122" t="s">
        <v>186</v>
      </c>
      <c r="F242" s="391">
        <v>0</v>
      </c>
      <c r="G242" s="186">
        <v>0</v>
      </c>
      <c r="H242" s="186">
        <v>0</v>
      </c>
      <c r="I242" s="186">
        <v>0</v>
      </c>
      <c r="J242" s="186">
        <v>0</v>
      </c>
      <c r="K242" s="186">
        <v>0</v>
      </c>
      <c r="L242" s="187">
        <v>0</v>
      </c>
      <c r="M242" s="115"/>
    </row>
    <row r="243" spans="1:13" outlineLevel="2">
      <c r="A243" s="366"/>
      <c r="B243" s="367"/>
      <c r="C243" s="151"/>
      <c r="D243" s="117"/>
      <c r="E243" s="179" t="s">
        <v>187</v>
      </c>
      <c r="F243" s="391">
        <v>455.73907855508537</v>
      </c>
      <c r="G243" s="186">
        <v>428.76938953623858</v>
      </c>
      <c r="H243" s="186">
        <v>373.27492432959986</v>
      </c>
      <c r="I243" s="186">
        <v>298.85532146325039</v>
      </c>
      <c r="J243" s="186">
        <v>214.03174221237938</v>
      </c>
      <c r="K243" s="186">
        <v>155.26822095451172</v>
      </c>
      <c r="L243" s="187">
        <v>129.0044178258587</v>
      </c>
      <c r="M243" s="115"/>
    </row>
    <row r="244" spans="1:13" outlineLevel="2">
      <c r="A244" s="366"/>
      <c r="B244" s="367"/>
      <c r="C244" s="151"/>
      <c r="D244" s="117"/>
      <c r="E244" s="122" t="s">
        <v>188</v>
      </c>
      <c r="F244" s="391">
        <v>0</v>
      </c>
      <c r="G244" s="392">
        <v>0</v>
      </c>
      <c r="H244" s="392">
        <v>4.8863972218291564E-2</v>
      </c>
      <c r="I244" s="392">
        <v>0.30051668021015521</v>
      </c>
      <c r="J244" s="392">
        <v>0.56422279203133918</v>
      </c>
      <c r="K244" s="392">
        <v>0.71426289831472201</v>
      </c>
      <c r="L244" s="393">
        <v>1.3992415218776639</v>
      </c>
      <c r="M244" s="115"/>
    </row>
    <row r="245" spans="1:13" outlineLevel="2">
      <c r="A245" s="366"/>
      <c r="B245" s="367"/>
      <c r="C245" s="151"/>
      <c r="D245" s="117"/>
      <c r="E245" s="122" t="s">
        <v>189</v>
      </c>
      <c r="F245" s="391">
        <v>3.1643742499999998</v>
      </c>
      <c r="G245" s="392">
        <v>4.3719195877940171</v>
      </c>
      <c r="H245" s="392">
        <v>6.5770447517079518</v>
      </c>
      <c r="I245" s="392">
        <v>7.6619118567408373</v>
      </c>
      <c r="J245" s="392">
        <v>7.8805154460071503</v>
      </c>
      <c r="K245" s="392">
        <v>8.0349209647003121</v>
      </c>
      <c r="L245" s="393">
        <v>8.2298513810916738</v>
      </c>
      <c r="M245" s="115"/>
    </row>
    <row r="246" spans="1:13" outlineLevel="2">
      <c r="A246" s="366"/>
      <c r="B246" s="367"/>
      <c r="C246" s="151"/>
      <c r="D246" s="117"/>
      <c r="E246" s="122" t="s">
        <v>190</v>
      </c>
      <c r="F246" s="391">
        <v>0</v>
      </c>
      <c r="G246" s="392">
        <v>0</v>
      </c>
      <c r="H246" s="392">
        <v>0</v>
      </c>
      <c r="I246" s="392">
        <v>0</v>
      </c>
      <c r="J246" s="392">
        <v>0</v>
      </c>
      <c r="K246" s="392">
        <v>0</v>
      </c>
      <c r="L246" s="393">
        <v>0</v>
      </c>
      <c r="M246" s="115"/>
    </row>
    <row r="247" spans="1:13" outlineLevel="2">
      <c r="A247" s="366"/>
      <c r="B247" s="367"/>
      <c r="C247" s="151"/>
      <c r="D247" s="117"/>
      <c r="E247" s="122" t="s">
        <v>191</v>
      </c>
      <c r="F247" s="391">
        <v>0</v>
      </c>
      <c r="G247" s="392">
        <v>0</v>
      </c>
      <c r="H247" s="392">
        <v>0</v>
      </c>
      <c r="I247" s="392">
        <v>0</v>
      </c>
      <c r="J247" s="392">
        <v>0</v>
      </c>
      <c r="K247" s="392">
        <v>0</v>
      </c>
      <c r="L247" s="393">
        <v>0</v>
      </c>
      <c r="M247" s="115"/>
    </row>
    <row r="248" spans="1:13" outlineLevel="2">
      <c r="A248" s="366"/>
      <c r="B248" s="367"/>
      <c r="C248" s="151"/>
      <c r="D248" s="117"/>
      <c r="E248" s="122" t="s">
        <v>192</v>
      </c>
      <c r="F248" s="391">
        <v>0</v>
      </c>
      <c r="G248" s="392">
        <v>0</v>
      </c>
      <c r="H248" s="392">
        <v>0</v>
      </c>
      <c r="I248" s="392">
        <v>0</v>
      </c>
      <c r="J248" s="392">
        <v>0</v>
      </c>
      <c r="K248" s="392">
        <v>0</v>
      </c>
      <c r="L248" s="393">
        <v>0</v>
      </c>
      <c r="M248" s="115"/>
    </row>
    <row r="249" spans="1:13" outlineLevel="2">
      <c r="A249" s="366"/>
      <c r="B249" s="367"/>
      <c r="C249" s="151"/>
      <c r="D249" s="117"/>
      <c r="E249" s="122" t="s">
        <v>197</v>
      </c>
      <c r="F249" s="391">
        <v>0</v>
      </c>
      <c r="G249" s="392">
        <v>0</v>
      </c>
      <c r="H249" s="392">
        <v>0</v>
      </c>
      <c r="I249" s="392">
        <v>0</v>
      </c>
      <c r="J249" s="392">
        <v>0</v>
      </c>
      <c r="K249" s="392">
        <v>0</v>
      </c>
      <c r="L249" s="393">
        <v>0</v>
      </c>
      <c r="M249" s="115"/>
    </row>
    <row r="250" spans="1:13" outlineLevel="2">
      <c r="A250" s="366"/>
      <c r="B250" s="367"/>
      <c r="C250" s="151"/>
      <c r="D250" s="117"/>
      <c r="E250" s="122" t="s">
        <v>24</v>
      </c>
      <c r="F250" s="391">
        <v>0</v>
      </c>
      <c r="G250" s="392">
        <v>0</v>
      </c>
      <c r="H250" s="392">
        <v>0</v>
      </c>
      <c r="I250" s="392">
        <v>0</v>
      </c>
      <c r="J250" s="392">
        <v>0</v>
      </c>
      <c r="K250" s="392">
        <v>0</v>
      </c>
      <c r="L250" s="393">
        <v>0</v>
      </c>
      <c r="M250" s="115"/>
    </row>
    <row r="251" spans="1:13" outlineLevel="2">
      <c r="A251" s="366"/>
      <c r="B251" s="367"/>
      <c r="C251" s="151"/>
      <c r="D251" s="117"/>
      <c r="E251" s="122" t="s">
        <v>198</v>
      </c>
      <c r="F251" s="391">
        <v>33.682313987219715</v>
      </c>
      <c r="G251" s="392">
        <v>38.682922363286558</v>
      </c>
      <c r="H251" s="392">
        <v>34.377295395467783</v>
      </c>
      <c r="I251" s="392">
        <v>28.222738089042309</v>
      </c>
      <c r="J251" s="392">
        <v>20.575221712393176</v>
      </c>
      <c r="K251" s="392">
        <v>15.046606491036911</v>
      </c>
      <c r="L251" s="393">
        <v>12.586521755418385</v>
      </c>
      <c r="M251" s="115"/>
    </row>
    <row r="252" spans="1:13" outlineLevel="2">
      <c r="A252" s="366"/>
      <c r="B252" s="367"/>
      <c r="C252" s="151"/>
      <c r="D252" s="117"/>
      <c r="E252" s="122" t="s">
        <v>199</v>
      </c>
      <c r="F252" s="391">
        <v>0</v>
      </c>
      <c r="G252" s="392">
        <v>0.22737308436474538</v>
      </c>
      <c r="H252" s="392">
        <v>0.49983747349740087</v>
      </c>
      <c r="I252" s="392">
        <v>0.57944646379402054</v>
      </c>
      <c r="J252" s="392">
        <v>0.59292601894085784</v>
      </c>
      <c r="K252" s="392">
        <v>0.60412644902552226</v>
      </c>
      <c r="L252" s="393">
        <v>0.57127211371985542</v>
      </c>
      <c r="M252" s="115"/>
    </row>
    <row r="253" spans="1:13" outlineLevel="2">
      <c r="A253" s="366"/>
      <c r="B253" s="367"/>
      <c r="C253" s="151"/>
      <c r="D253" s="117"/>
      <c r="E253" s="122" t="s">
        <v>200</v>
      </c>
      <c r="F253" s="391">
        <v>0</v>
      </c>
      <c r="G253" s="392">
        <v>0</v>
      </c>
      <c r="H253" s="392">
        <v>0</v>
      </c>
      <c r="I253" s="392">
        <v>0</v>
      </c>
      <c r="J253" s="392">
        <v>0</v>
      </c>
      <c r="K253" s="392">
        <v>0</v>
      </c>
      <c r="L253" s="393">
        <v>0</v>
      </c>
      <c r="M253" s="115"/>
    </row>
    <row r="254" spans="1:13" outlineLevel="2">
      <c r="A254" s="366"/>
      <c r="B254" s="367"/>
      <c r="C254" s="151"/>
      <c r="D254" s="117"/>
      <c r="E254" s="122" t="s">
        <v>201</v>
      </c>
      <c r="F254" s="391">
        <v>0</v>
      </c>
      <c r="G254" s="392">
        <v>0</v>
      </c>
      <c r="H254" s="392">
        <v>0</v>
      </c>
      <c r="I254" s="392">
        <v>0</v>
      </c>
      <c r="J254" s="392">
        <v>0</v>
      </c>
      <c r="K254" s="392">
        <v>0</v>
      </c>
      <c r="L254" s="393">
        <v>0</v>
      </c>
      <c r="M254" s="115"/>
    </row>
    <row r="255" spans="1:13" outlineLevel="2">
      <c r="A255" s="366"/>
      <c r="B255" s="367"/>
      <c r="C255" s="151"/>
      <c r="D255" s="117"/>
      <c r="E255" s="122" t="s">
        <v>194</v>
      </c>
      <c r="F255" s="391">
        <v>9.5062570700000002</v>
      </c>
      <c r="G255" s="392">
        <v>15.280990031280117</v>
      </c>
      <c r="H255" s="392">
        <v>28.976305201286692</v>
      </c>
      <c r="I255" s="392">
        <v>56.163134021596207</v>
      </c>
      <c r="J255" s="392">
        <v>89.896277121934205</v>
      </c>
      <c r="K255" s="392">
        <v>115.5473600049655</v>
      </c>
      <c r="L255" s="393">
        <v>128.42367276227387</v>
      </c>
      <c r="M255" s="115"/>
    </row>
    <row r="256" spans="1:13" outlineLevel="2">
      <c r="A256" s="366"/>
      <c r="B256" s="367"/>
      <c r="C256" s="151"/>
      <c r="D256" s="117"/>
      <c r="E256" s="122" t="s">
        <v>195</v>
      </c>
      <c r="F256" s="391">
        <v>0</v>
      </c>
      <c r="G256" s="392">
        <v>0</v>
      </c>
      <c r="H256" s="392">
        <v>0</v>
      </c>
      <c r="I256" s="392">
        <v>0</v>
      </c>
      <c r="J256" s="392">
        <v>0</v>
      </c>
      <c r="K256" s="392">
        <v>0</v>
      </c>
      <c r="L256" s="393">
        <v>0</v>
      </c>
      <c r="M256" s="115"/>
    </row>
    <row r="257" spans="1:13" outlineLevel="2">
      <c r="A257" s="366"/>
      <c r="B257" s="367"/>
      <c r="C257" s="151" t="str">
        <f t="shared" si="8"/>
        <v>Hydrogène</v>
      </c>
      <c r="D257" s="117"/>
      <c r="E257" s="122" t="s">
        <v>196</v>
      </c>
      <c r="F257" s="391">
        <v>0</v>
      </c>
      <c r="G257" s="392">
        <v>5.9065692077369687E-3</v>
      </c>
      <c r="H257" s="392">
        <v>0.13176218607077275</v>
      </c>
      <c r="I257" s="392">
        <v>0.47808640660864821</v>
      </c>
      <c r="J257" s="392">
        <v>0.89290486522731083</v>
      </c>
      <c r="K257" s="392">
        <v>1.3471403833274196</v>
      </c>
      <c r="L257" s="393">
        <v>2.0921186311995577</v>
      </c>
      <c r="M257" s="115"/>
    </row>
    <row r="258" spans="1:13" ht="15" outlineLevel="2" thickBot="1">
      <c r="A258" s="366"/>
      <c r="B258" s="367"/>
      <c r="C258" s="151" t="str">
        <f t="shared" si="8"/>
        <v>Total</v>
      </c>
      <c r="D258" s="117"/>
      <c r="E258" s="123" t="s">
        <v>144</v>
      </c>
      <c r="F258" s="394">
        <v>502.0920238623051</v>
      </c>
      <c r="G258" s="395">
        <v>487.33850117217173</v>
      </c>
      <c r="H258" s="395">
        <v>443.88603330984876</v>
      </c>
      <c r="I258" s="395">
        <v>392.26115498124256</v>
      </c>
      <c r="J258" s="395">
        <v>334.43381016891345</v>
      </c>
      <c r="K258" s="395">
        <v>296.56263814588215</v>
      </c>
      <c r="L258" s="396">
        <v>282.30709599143967</v>
      </c>
      <c r="M258" s="115"/>
    </row>
    <row r="259" spans="1:13" outlineLevel="2">
      <c r="A259" s="366"/>
      <c r="B259" s="367"/>
      <c r="C259" s="151" t="str">
        <f t="shared" si="8"/>
        <v>Périmètre Kyoto, SDES bilans d'énergie 2022,Projections DGEC</v>
      </c>
      <c r="D259" s="115"/>
      <c r="E259" s="616" t="s">
        <v>303</v>
      </c>
      <c r="F259" s="616"/>
      <c r="G259" s="616"/>
      <c r="H259" s="616"/>
      <c r="I259" s="616"/>
      <c r="J259" s="616"/>
      <c r="K259" s="616"/>
      <c r="L259" s="616"/>
      <c r="M259" s="115"/>
    </row>
    <row r="260" spans="1:13" outlineLevel="1">
      <c r="A260" s="366"/>
      <c r="B260" s="367"/>
      <c r="C260" s="151" t="str">
        <f t="shared" si="8"/>
        <v/>
      </c>
      <c r="D260" s="115"/>
      <c r="E260" s="115"/>
      <c r="F260" s="115"/>
      <c r="G260" s="115"/>
      <c r="H260" s="115"/>
      <c r="I260" s="115"/>
      <c r="J260" s="115"/>
      <c r="K260" s="115"/>
      <c r="L260" s="115"/>
      <c r="M260" s="115"/>
    </row>
    <row r="261" spans="1:13" outlineLevel="1">
      <c r="A261" s="366"/>
      <c r="B261" s="367"/>
      <c r="C261" s="151" t="str">
        <f t="shared" si="8"/>
        <v/>
      </c>
      <c r="D261" s="115"/>
      <c r="E261" s="115"/>
      <c r="F261" s="115"/>
      <c r="G261" s="115"/>
      <c r="H261" s="115"/>
      <c r="I261" s="115"/>
      <c r="J261" s="115"/>
      <c r="K261" s="115"/>
      <c r="L261" s="115"/>
      <c r="M261" s="115"/>
    </row>
    <row r="262" spans="1:13">
      <c r="A262" s="366"/>
      <c r="B262" s="367"/>
      <c r="C262" s="151" t="str">
        <f t="shared" si="8"/>
        <v/>
      </c>
      <c r="D262" s="629"/>
      <c r="E262" s="629"/>
      <c r="F262" s="629"/>
    </row>
    <row r="263" spans="1:13" ht="28.8" thickBot="1">
      <c r="A263" s="366"/>
      <c r="B263" s="367"/>
      <c r="C263" s="151" t="str">
        <f t="shared" si="8"/>
        <v>Emissions de gaz à effet de serre</v>
      </c>
      <c r="D263" s="371"/>
      <c r="E263" s="372"/>
      <c r="F263" s="635" t="s">
        <v>142</v>
      </c>
      <c r="G263" s="635"/>
      <c r="H263" s="635"/>
      <c r="I263" s="635"/>
      <c r="J263" s="635"/>
      <c r="K263" s="635"/>
      <c r="L263" s="635"/>
      <c r="M263" s="635"/>
    </row>
    <row r="264" spans="1:13" ht="15" thickTop="1">
      <c r="A264" s="366"/>
      <c r="B264" s="367"/>
      <c r="C264" s="151" t="str">
        <f t="shared" si="8"/>
        <v/>
      </c>
      <c r="D264" s="203"/>
      <c r="E264" s="203"/>
      <c r="F264" s="203"/>
    </row>
    <row r="265" spans="1:13" outlineLevel="1">
      <c r="A265" s="366"/>
      <c r="B265" s="367"/>
      <c r="C265" s="151" t="str">
        <f t="shared" si="8"/>
        <v/>
      </c>
      <c r="D265" s="115"/>
      <c r="E265" s="115"/>
      <c r="F265" s="115"/>
      <c r="G265" s="115"/>
      <c r="H265" s="115"/>
      <c r="I265" s="115"/>
      <c r="J265" s="115"/>
      <c r="K265" s="115"/>
      <c r="L265" s="115"/>
      <c r="M265" s="115"/>
    </row>
    <row r="266" spans="1:13" outlineLevel="1">
      <c r="A266" s="366"/>
      <c r="B266" s="367"/>
      <c r="C266" s="151" t="str">
        <f t="shared" si="8"/>
        <v/>
      </c>
      <c r="D266" s="115"/>
      <c r="E266" s="115"/>
      <c r="F266" s="115"/>
      <c r="G266" s="115"/>
      <c r="H266" s="115"/>
      <c r="I266" s="115"/>
      <c r="J266" s="115"/>
      <c r="K266" s="115"/>
      <c r="L266" s="115"/>
      <c r="M266" s="115"/>
    </row>
    <row r="267" spans="1:13" ht="15" outlineLevel="1" thickBot="1">
      <c r="A267" s="366"/>
      <c r="B267" s="367"/>
      <c r="C267" s="151" t="str">
        <f t="shared" si="8"/>
        <v>Emissions de gaz à effet de serre (MtCO2e)</v>
      </c>
      <c r="D267" s="115"/>
      <c r="E267" s="615" t="s">
        <v>504</v>
      </c>
      <c r="F267" s="615"/>
      <c r="G267" s="615"/>
      <c r="H267" s="615"/>
      <c r="I267" s="615"/>
      <c r="J267" s="615"/>
      <c r="K267" s="615"/>
      <c r="L267" s="615"/>
      <c r="M267" s="115"/>
    </row>
    <row r="268" spans="1:13" outlineLevel="2">
      <c r="A268" s="366"/>
      <c r="B268" s="367"/>
      <c r="C268" s="151" t="str">
        <f t="shared" si="8"/>
        <v>MtCO2e</v>
      </c>
      <c r="D268" s="115"/>
      <c r="E268" s="119" t="s">
        <v>302</v>
      </c>
      <c r="F268" s="120">
        <v>2021</v>
      </c>
      <c r="G268" s="120">
        <v>2025</v>
      </c>
      <c r="H268" s="120">
        <v>2030</v>
      </c>
      <c r="I268" s="120">
        <v>2035</v>
      </c>
      <c r="J268" s="120">
        <v>2040</v>
      </c>
      <c r="K268" s="120">
        <v>2045</v>
      </c>
      <c r="L268" s="121">
        <v>2050</v>
      </c>
      <c r="M268" s="115"/>
    </row>
    <row r="269" spans="1:13" outlineLevel="2">
      <c r="A269" s="366"/>
      <c r="B269" s="367"/>
      <c r="C269" s="151" t="str">
        <f t="shared" si="8"/>
        <v>Transport routier</v>
      </c>
      <c r="D269" s="116"/>
      <c r="E269" s="122" t="s">
        <v>495</v>
      </c>
      <c r="F269" s="185">
        <f>GES!AG134</f>
        <v>120.12941296662724</v>
      </c>
      <c r="G269" s="186">
        <f>GES!AJ134</f>
        <v>115.65486580389097</v>
      </c>
      <c r="H269" s="186">
        <f>GES!AL134</f>
        <v>101.55328602900933</v>
      </c>
      <c r="I269" s="186">
        <f>GES!AN134</f>
        <v>81.97668876967937</v>
      </c>
      <c r="J269" s="186">
        <f>GES!AP134</f>
        <v>58.834654565022895</v>
      </c>
      <c r="K269" s="186">
        <f>GES!AQ134</f>
        <v>41.859619269546961</v>
      </c>
      <c r="L269" s="187">
        <f>GES!AR134</f>
        <v>35.105259610148693</v>
      </c>
      <c r="M269" s="115"/>
    </row>
    <row r="270" spans="1:13" outlineLevel="2">
      <c r="A270" s="366"/>
      <c r="B270" s="367"/>
      <c r="C270" s="151"/>
      <c r="D270" s="116"/>
      <c r="E270" s="344" t="s">
        <v>498</v>
      </c>
      <c r="F270" s="185">
        <f>SUM(GES!AG113:AG116)</f>
        <v>65.713892707668066</v>
      </c>
      <c r="G270" s="186">
        <f>SUM(GES!AJ113:AJ116)</f>
        <v>62.925917122439763</v>
      </c>
      <c r="H270" s="186">
        <f>SUM(GES!AL113:AL116)</f>
        <v>53.624681995264872</v>
      </c>
      <c r="I270" s="186">
        <f>SUM(GES!AN113:AN116)</f>
        <v>41.131593484424442</v>
      </c>
      <c r="J270" s="186">
        <f>SUM(GES!AP113:AP116)</f>
        <v>25.489313383388307</v>
      </c>
      <c r="K270" s="186">
        <f>SUM(GES!AQ113:AQ116)</f>
        <v>13.464741605172255</v>
      </c>
      <c r="L270" s="186">
        <f>SUM(GES!AR113:AR116)</f>
        <v>7.904768435633529</v>
      </c>
      <c r="M270" s="115"/>
    </row>
    <row r="271" spans="1:13" outlineLevel="2">
      <c r="A271" s="366"/>
      <c r="B271" s="367"/>
      <c r="C271" s="151"/>
      <c r="D271" s="116"/>
      <c r="E271" s="344" t="s">
        <v>499</v>
      </c>
      <c r="F271" s="185">
        <f>SUM(GES!AG118:AG122)</f>
        <v>19.988220299476698</v>
      </c>
      <c r="G271" s="186">
        <f>SUM(GES!AJ118:AJ122)</f>
        <v>19.532548083668516</v>
      </c>
      <c r="H271" s="186">
        <f>SUM(GES!AL118:AL122)</f>
        <v>18.209299080013846</v>
      </c>
      <c r="I271" s="186">
        <f>SUM(GES!AN118:AN122)</f>
        <v>14.057255048230145</v>
      </c>
      <c r="J271" s="186">
        <f>SUM(GES!AP118:AP122)</f>
        <v>8.0661539986253654</v>
      </c>
      <c r="K271" s="186">
        <f>SUM(GES!AQ118:AQ122)</f>
        <v>3.5380421977177416</v>
      </c>
      <c r="L271" s="187">
        <f>SUM(GES!AR118:AR122)</f>
        <v>2.0266838022312954</v>
      </c>
      <c r="M271" s="115"/>
    </row>
    <row r="272" spans="1:13" outlineLevel="2">
      <c r="A272" s="366"/>
      <c r="B272" s="367"/>
      <c r="C272" s="151"/>
      <c r="D272" s="116"/>
      <c r="E272" s="344" t="s">
        <v>500</v>
      </c>
      <c r="F272" s="185">
        <f>SUM(GES!AG123:AG126)</f>
        <v>30.477291071994763</v>
      </c>
      <c r="G272" s="186">
        <f>SUM(GES!AJ123:AJ126)</f>
        <v>31.795053056377036</v>
      </c>
      <c r="H272" s="186">
        <f>SUM(GES!AL123:AL126)</f>
        <v>28.380257453486035</v>
      </c>
      <c r="I272" s="186">
        <f>SUM(GES!AN123:AN126)</f>
        <v>25.489769091895777</v>
      </c>
      <c r="J272" s="186">
        <f>SUM(GES!AP123:AP126)</f>
        <v>24.006268899587059</v>
      </c>
      <c r="K272" s="186">
        <f>SUM(GES!AQ123:AQ126)</f>
        <v>23.608138600587836</v>
      </c>
      <c r="L272" s="186">
        <f>SUM(GES!AR123:AR126)</f>
        <v>23.927509359463304</v>
      </c>
      <c r="M272" s="115"/>
    </row>
    <row r="273" spans="1:13" outlineLevel="2">
      <c r="A273" s="366"/>
      <c r="B273" s="367"/>
      <c r="C273" s="151"/>
      <c r="D273" s="116"/>
      <c r="E273" s="344" t="s">
        <v>501</v>
      </c>
      <c r="F273" s="185">
        <f>SUM(GES!AG127:AG130)</f>
        <v>2.7560841099404572</v>
      </c>
      <c r="G273" s="186">
        <f>SUM(GES!AJ127:AJ130)</f>
        <v>9.4099351101188125E-2</v>
      </c>
      <c r="H273" s="186">
        <f>SUM(GES!AL127:AL130)</f>
        <v>5.394604087934865E-2</v>
      </c>
      <c r="I273" s="186">
        <f>SUM(GES!AN127:AN130)</f>
        <v>1.9727188913857302E-2</v>
      </c>
      <c r="J273" s="186">
        <f>SUM(GES!AP127:AP130)</f>
        <v>2.1642153909951834E-3</v>
      </c>
      <c r="K273" s="186">
        <f>SUM(GES!AQ127:AQ130)</f>
        <v>0</v>
      </c>
      <c r="L273" s="187">
        <f>SUM(GES!AR127:AR130)</f>
        <v>0</v>
      </c>
      <c r="M273" s="115"/>
    </row>
    <row r="274" spans="1:13" outlineLevel="2">
      <c r="A274" s="366"/>
      <c r="B274" s="367"/>
      <c r="C274" s="151"/>
      <c r="D274" s="116"/>
      <c r="E274" s="344" t="s">
        <v>502</v>
      </c>
      <c r="F274" s="185">
        <f>SUM(GES!AG131:AG133)</f>
        <v>1.193924777547235</v>
      </c>
      <c r="G274" s="186">
        <f>SUM(GES!AJ131:AJ133)</f>
        <v>1.3072481903044677</v>
      </c>
      <c r="H274" s="186">
        <f>SUM(GES!AL131:AL133)</f>
        <v>1.2851014593652297</v>
      </c>
      <c r="I274" s="186">
        <f>SUM(GES!AN131:AN133)</f>
        <v>1.278343956215128</v>
      </c>
      <c r="J274" s="186">
        <f>SUM(GES!AP131:AP133)</f>
        <v>1.2707540680311686</v>
      </c>
      <c r="K274" s="186">
        <f>SUM(GES!AQ131:AQ133)</f>
        <v>1.2486968660691258</v>
      </c>
      <c r="L274" s="186">
        <f>SUM(GES!AR131:AR133)</f>
        <v>1.2462980128205667</v>
      </c>
      <c r="M274" s="115"/>
    </row>
    <row r="275" spans="1:13" outlineLevel="2">
      <c r="A275" s="366"/>
      <c r="B275" s="367"/>
      <c r="C275" s="151" t="str">
        <f t="shared" si="8"/>
        <v>Transport ferroviaire</v>
      </c>
      <c r="D275" s="117"/>
      <c r="E275" s="122" t="s">
        <v>8</v>
      </c>
      <c r="F275" s="185">
        <f>GES!AG135</f>
        <v>0.39103897395499571</v>
      </c>
      <c r="G275" s="186">
        <f>GES!AJ135</f>
        <v>0.41078829035761433</v>
      </c>
      <c r="H275" s="186">
        <f>GES!AL135</f>
        <v>0.39745946982522889</v>
      </c>
      <c r="I275" s="186">
        <f>GES!AN135</f>
        <v>0.38661406711739588</v>
      </c>
      <c r="J275" s="186">
        <f>GES!AP135</f>
        <v>0.38155536467071083</v>
      </c>
      <c r="K275" s="186">
        <f>GES!AQ135</f>
        <v>0.37967066944969435</v>
      </c>
      <c r="L275" s="187">
        <f>GES!AR135</f>
        <v>0.3787801523820819</v>
      </c>
      <c r="M275" s="115"/>
    </row>
    <row r="276" spans="1:13" outlineLevel="2">
      <c r="A276" s="366"/>
      <c r="B276" s="367"/>
      <c r="C276" s="151"/>
      <c r="D276" s="117"/>
      <c r="E276" s="122" t="s">
        <v>496</v>
      </c>
      <c r="F276" s="185">
        <f>GES!AG139</f>
        <v>3.7956335658518765</v>
      </c>
      <c r="G276" s="186">
        <f>GES!AJ139</f>
        <v>4.7137664468247635</v>
      </c>
      <c r="H276" s="186">
        <f>GES!AL139</f>
        <v>4.6485590926315075</v>
      </c>
      <c r="I276" s="186">
        <f>GES!AN139</f>
        <v>4.0654664833589145</v>
      </c>
      <c r="J276" s="186">
        <f>GES!AP139</f>
        <v>3.6557227341726382</v>
      </c>
      <c r="K276" s="186">
        <f>GES!AQ139</f>
        <v>3.617744031508829</v>
      </c>
      <c r="L276" s="186">
        <f>GES!AR139</f>
        <v>3.1149455603534943</v>
      </c>
      <c r="M276" s="115"/>
    </row>
    <row r="277" spans="1:13" outlineLevel="2">
      <c r="A277" s="366"/>
      <c r="B277" s="367"/>
      <c r="C277" s="151"/>
      <c r="D277" s="117"/>
      <c r="E277" s="122" t="s">
        <v>497</v>
      </c>
      <c r="F277" s="185">
        <f>SUM(GES!AG136:AG138)</f>
        <v>2.9020056778054935</v>
      </c>
      <c r="G277" s="186">
        <f>SUM(GES!AJ136:AJ138)</f>
        <v>2.6812633216516533</v>
      </c>
      <c r="H277" s="186">
        <f>SUM(GES!AL136:AL138)</f>
        <v>2.4007038599012764</v>
      </c>
      <c r="I277" s="186">
        <f>SUM(GES!AN136:AN138)</f>
        <v>2.1807757795410736</v>
      </c>
      <c r="J277" s="186">
        <f>SUM(GES!AP136:AP138)</f>
        <v>2.008107944345463</v>
      </c>
      <c r="K277" s="186">
        <f>SUM(GES!AQ136:AQ138)</f>
        <v>1.8749997165715468</v>
      </c>
      <c r="L277" s="187">
        <f>SUM(GES!AR136:AR138)</f>
        <v>1.8282573704229943</v>
      </c>
      <c r="M277" s="115"/>
    </row>
    <row r="278" spans="1:13" ht="15" outlineLevel="2" thickBot="1">
      <c r="A278" s="366"/>
      <c r="B278" s="367"/>
      <c r="C278" s="151"/>
      <c r="D278" s="117"/>
      <c r="E278" s="129" t="s">
        <v>503</v>
      </c>
      <c r="F278" s="262">
        <f>SUM(F269,F275,F276,F277)</f>
        <v>127.2180911842396</v>
      </c>
      <c r="G278" s="263">
        <f t="shared" ref="G278:L278" si="9">SUM(G269,G275,G276,G277)</f>
        <v>123.46068386272501</v>
      </c>
      <c r="H278" s="263">
        <f t="shared" si="9"/>
        <v>109.00000845136732</v>
      </c>
      <c r="I278" s="263">
        <f t="shared" si="9"/>
        <v>88.60954509969676</v>
      </c>
      <c r="J278" s="263">
        <f t="shared" si="9"/>
        <v>64.880040608211715</v>
      </c>
      <c r="K278" s="263">
        <f t="shared" si="9"/>
        <v>47.732033687077028</v>
      </c>
      <c r="L278" s="263">
        <f t="shared" si="9"/>
        <v>40.427242693307271</v>
      </c>
      <c r="M278" s="115"/>
    </row>
    <row r="279" spans="1:13" outlineLevel="2">
      <c r="A279" s="366"/>
      <c r="B279" s="367"/>
      <c r="C279" s="151" t="str">
        <f t="shared" si="8"/>
        <v>Source SECTEN 2024, projections CITEPA - CCUS compté en puits au niveau de la capture et en émissions dans le secteur émetteur, périmètre Kyoto</v>
      </c>
      <c r="D279" s="115"/>
      <c r="E279" s="616" t="s">
        <v>1073</v>
      </c>
      <c r="F279" s="616"/>
      <c r="G279" s="616"/>
      <c r="H279" s="616"/>
      <c r="I279" s="616"/>
      <c r="J279" s="616"/>
      <c r="K279" s="616"/>
      <c r="L279" s="616"/>
      <c r="M279" s="115"/>
    </row>
    <row r="280" spans="1:13" outlineLevel="1">
      <c r="A280" s="366"/>
      <c r="B280" s="367"/>
      <c r="C280" s="151" t="str">
        <f t="shared" si="8"/>
        <v/>
      </c>
      <c r="D280" s="115"/>
      <c r="E280" s="115"/>
      <c r="F280" s="115"/>
      <c r="G280" s="115"/>
      <c r="H280" s="115"/>
      <c r="I280" s="115"/>
      <c r="J280" s="115"/>
      <c r="K280" s="115"/>
      <c r="L280" s="115"/>
      <c r="M280" s="115"/>
    </row>
    <row r="281" spans="1:13" ht="15" outlineLevel="1" thickBot="1">
      <c r="A281" s="366"/>
      <c r="B281" s="367"/>
      <c r="C281" s="151"/>
      <c r="D281" s="115"/>
      <c r="E281" s="615" t="s">
        <v>505</v>
      </c>
      <c r="F281" s="615"/>
      <c r="G281" s="615"/>
      <c r="H281" s="615"/>
      <c r="I281" s="615"/>
      <c r="J281" s="615"/>
      <c r="K281" s="615"/>
      <c r="L281" s="615"/>
      <c r="M281" s="115"/>
    </row>
    <row r="282" spans="1:13" outlineLevel="2">
      <c r="A282" s="366"/>
      <c r="B282" s="367"/>
      <c r="C282" s="151"/>
      <c r="D282" s="115"/>
      <c r="E282" s="119" t="s">
        <v>302</v>
      </c>
      <c r="F282" s="120">
        <v>2021</v>
      </c>
      <c r="G282" s="120">
        <v>2025</v>
      </c>
      <c r="H282" s="120">
        <v>2030</v>
      </c>
      <c r="I282" s="120">
        <v>2035</v>
      </c>
      <c r="J282" s="120">
        <v>2040</v>
      </c>
      <c r="K282" s="120">
        <v>2045</v>
      </c>
      <c r="L282" s="121">
        <v>2050</v>
      </c>
      <c r="M282" s="115"/>
    </row>
    <row r="283" spans="1:13" outlineLevel="2">
      <c r="A283" s="366"/>
      <c r="B283" s="367"/>
      <c r="C283" s="151"/>
      <c r="D283" s="115"/>
      <c r="E283" s="122" t="s">
        <v>506</v>
      </c>
      <c r="F283" s="185">
        <f>GES!AG145</f>
        <v>9.0390496953443424</v>
      </c>
      <c r="G283" s="186">
        <f>GES!AJ145</f>
        <v>18.864234532960023</v>
      </c>
      <c r="H283" s="186">
        <f>GES!AL145</f>
        <v>19.159800162960057</v>
      </c>
      <c r="I283" s="186">
        <f>GES!AN145</f>
        <v>17.368213877388122</v>
      </c>
      <c r="J283" s="186">
        <f>GES!AP145</f>
        <v>16.119929767016611</v>
      </c>
      <c r="K283" s="186">
        <f>GES!AQ145</f>
        <v>16.287430459902652</v>
      </c>
      <c r="L283" s="187">
        <f>GES!AR145</f>
        <v>14.441715429962033</v>
      </c>
      <c r="M283" s="115"/>
    </row>
    <row r="284" spans="1:13" outlineLevel="2">
      <c r="A284" s="366"/>
      <c r="B284" s="367"/>
      <c r="C284" s="151"/>
      <c r="D284" s="115"/>
      <c r="E284" s="264" t="s">
        <v>507</v>
      </c>
      <c r="F284" s="185">
        <f>GES!AG144</f>
        <v>3.539894772865555</v>
      </c>
      <c r="G284" s="186">
        <f>GES!AJ144</f>
        <v>4.6162941879052024</v>
      </c>
      <c r="H284" s="186">
        <f>GES!AL144</f>
        <v>4.0626962461541618</v>
      </c>
      <c r="I284" s="186">
        <f>GES!AN144</f>
        <v>3.54053080362922</v>
      </c>
      <c r="J284" s="186">
        <f>GES!AP144</f>
        <v>3.1633385006884005</v>
      </c>
      <c r="K284" s="186">
        <f>GES!AQ144</f>
        <v>2.6872271797596916</v>
      </c>
      <c r="L284" s="187">
        <f>GES!AR144</f>
        <v>2.4107454505716155</v>
      </c>
      <c r="M284" s="115"/>
    </row>
    <row r="285" spans="1:13" ht="15" outlineLevel="2" thickBot="1">
      <c r="A285" s="366"/>
      <c r="B285" s="367"/>
      <c r="C285" s="151"/>
      <c r="D285" s="115"/>
      <c r="E285" s="264" t="s">
        <v>508</v>
      </c>
      <c r="F285" s="185">
        <f>GES!AG143</f>
        <v>5.9057369271616145E-2</v>
      </c>
      <c r="G285" s="186">
        <f>GES!AJ143</f>
        <v>7.2067496941738293E-2</v>
      </c>
      <c r="H285" s="186">
        <f>GES!AL143</f>
        <v>5.6342982298992789E-2</v>
      </c>
      <c r="I285" s="186">
        <f>GES!AN143</f>
        <v>5.3902612386659859E-2</v>
      </c>
      <c r="J285" s="186">
        <f>GES!AP143</f>
        <v>5.138109003068643E-2</v>
      </c>
      <c r="K285" s="186">
        <f>GES!AQ143</f>
        <v>4.8778415231072438E-2</v>
      </c>
      <c r="L285" s="187">
        <f>GES!AR143</f>
        <v>4.9387058558376377E-2</v>
      </c>
      <c r="M285" s="115"/>
    </row>
    <row r="286" spans="1:13" outlineLevel="2">
      <c r="A286" s="366"/>
      <c r="B286" s="367"/>
      <c r="C286" s="151"/>
      <c r="D286" s="115"/>
      <c r="E286" s="616" t="s">
        <v>1073</v>
      </c>
      <c r="F286" s="616"/>
      <c r="G286" s="616"/>
      <c r="H286" s="616"/>
      <c r="I286" s="616"/>
      <c r="J286" s="616"/>
      <c r="K286" s="616"/>
      <c r="L286" s="616"/>
      <c r="M286" s="115"/>
    </row>
    <row r="287" spans="1:13" s="283" customFormat="1" outlineLevel="1">
      <c r="A287" s="366"/>
      <c r="B287" s="367"/>
      <c r="C287" s="151"/>
      <c r="D287" s="115"/>
      <c r="E287" s="115"/>
      <c r="F287" s="115"/>
      <c r="G287" s="115"/>
      <c r="H287" s="115"/>
      <c r="I287" s="115"/>
      <c r="J287" s="115"/>
      <c r="K287" s="115"/>
      <c r="L287" s="115"/>
      <c r="M287" s="115"/>
    </row>
    <row r="288" spans="1:13" s="283" customFormat="1" outlineLevel="1">
      <c r="A288" s="366"/>
      <c r="B288" s="367"/>
      <c r="C288" s="151"/>
      <c r="D288" s="115"/>
      <c r="E288" s="115"/>
      <c r="F288" s="115"/>
      <c r="G288" s="115"/>
      <c r="H288" s="115"/>
      <c r="I288" s="115"/>
      <c r="J288" s="115"/>
      <c r="K288" s="115"/>
      <c r="L288" s="115"/>
      <c r="M288" s="115"/>
    </row>
  </sheetData>
  <mergeCells count="80">
    <mergeCell ref="E15:L15"/>
    <mergeCell ref="O3:Q3"/>
    <mergeCell ref="R3:T3"/>
    <mergeCell ref="F4:G4"/>
    <mergeCell ref="H4:I4"/>
    <mergeCell ref="J4:K4"/>
    <mergeCell ref="L4:M4"/>
    <mergeCell ref="E35:L35"/>
    <mergeCell ref="E42:L42"/>
    <mergeCell ref="E44:L44"/>
    <mergeCell ref="E49:L49"/>
    <mergeCell ref="E1:M1"/>
    <mergeCell ref="E3:I3"/>
    <mergeCell ref="J3:M3"/>
    <mergeCell ref="F11:M11"/>
    <mergeCell ref="E23:L23"/>
    <mergeCell ref="E29:L29"/>
    <mergeCell ref="F31:M31"/>
    <mergeCell ref="F5:G5"/>
    <mergeCell ref="H5:I5"/>
    <mergeCell ref="J5:K5"/>
    <mergeCell ref="L5:M5"/>
    <mergeCell ref="E8:L8"/>
    <mergeCell ref="E127:L127"/>
    <mergeCell ref="E129:L129"/>
    <mergeCell ref="E81:L81"/>
    <mergeCell ref="E51:L51"/>
    <mergeCell ref="E57:L57"/>
    <mergeCell ref="E59:L59"/>
    <mergeCell ref="E65:L65"/>
    <mergeCell ref="F68:M68"/>
    <mergeCell ref="E72:L72"/>
    <mergeCell ref="E79:L79"/>
    <mergeCell ref="E96:L96"/>
    <mergeCell ref="E102:L102"/>
    <mergeCell ref="E108:L108"/>
    <mergeCell ref="E113:L113"/>
    <mergeCell ref="E122:L122"/>
    <mergeCell ref="E21:L21"/>
    <mergeCell ref="E239:L239"/>
    <mergeCell ref="E203:L203"/>
    <mergeCell ref="E115:L115"/>
    <mergeCell ref="E120:L120"/>
    <mergeCell ref="F152:M152"/>
    <mergeCell ref="F104:M104"/>
    <mergeCell ref="E156:L156"/>
    <mergeCell ref="E166:L166"/>
    <mergeCell ref="F199:M199"/>
    <mergeCell ref="E202:L202"/>
    <mergeCell ref="E230:L230"/>
    <mergeCell ref="E136:L136"/>
    <mergeCell ref="E86:L86"/>
    <mergeCell ref="E88:L88"/>
    <mergeCell ref="E94:L94"/>
    <mergeCell ref="E142:L142"/>
    <mergeCell ref="E144:L144"/>
    <mergeCell ref="E168:L168"/>
    <mergeCell ref="E191:L191"/>
    <mergeCell ref="E197:L197"/>
    <mergeCell ref="E176:L176"/>
    <mergeCell ref="E182:L182"/>
    <mergeCell ref="E174:L174"/>
    <mergeCell ref="E180:L180"/>
    <mergeCell ref="E189:L189"/>
    <mergeCell ref="E154:L154"/>
    <mergeCell ref="E286:L286"/>
    <mergeCell ref="E281:L281"/>
    <mergeCell ref="F236:M236"/>
    <mergeCell ref="E205:L205"/>
    <mergeCell ref="E211:L211"/>
    <mergeCell ref="F221:M221"/>
    <mergeCell ref="E225:L225"/>
    <mergeCell ref="E212:L212"/>
    <mergeCell ref="E267:L267"/>
    <mergeCell ref="E279:L279"/>
    <mergeCell ref="D262:F262"/>
    <mergeCell ref="F263:M263"/>
    <mergeCell ref="E259:L259"/>
    <mergeCell ref="D232:G232"/>
    <mergeCell ref="E233:L233"/>
  </mergeCells>
  <conditionalFormatting sqref="F241:L258">
    <cfRule type="cellIs" dxfId="293" priority="1" operator="greaterThan">
      <formula>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Spinner 1">
              <controlPr defaultSize="0" autoPict="0">
                <anchor moveWithCells="1" sizeWithCells="1">
                  <from>
                    <xdr:col>13</xdr:col>
                    <xdr:colOff>617220</xdr:colOff>
                    <xdr:row>3</xdr:row>
                    <xdr:rowOff>0</xdr:rowOff>
                  </from>
                  <to>
                    <xdr:col>13</xdr:col>
                    <xdr:colOff>861060</xdr:colOff>
                    <xdr:row>5</xdr:row>
                    <xdr:rowOff>0</xdr:rowOff>
                  </to>
                </anchor>
              </controlPr>
            </control>
          </mc:Choice>
        </mc:AlternateContent>
        <mc:AlternateContent xmlns:mc="http://schemas.openxmlformats.org/markup-compatibility/2006">
          <mc:Choice Requires="x14">
            <control shapeId="33794" r:id="rId5" name="Spinner 2">
              <controlPr defaultSize="0" autoPict="0">
                <anchor moveWithCells="1" sizeWithCells="1">
                  <from>
                    <xdr:col>3</xdr:col>
                    <xdr:colOff>236220</xdr:colOff>
                    <xdr:row>3</xdr:row>
                    <xdr:rowOff>0</xdr:rowOff>
                  </from>
                  <to>
                    <xdr:col>3</xdr:col>
                    <xdr:colOff>480060</xdr:colOff>
                    <xdr:row>4</xdr:row>
                    <xdr:rowOff>327660</xdr:rowOff>
                  </to>
                </anchor>
              </controlPr>
            </control>
          </mc:Choice>
        </mc:AlternateContent>
      </controls>
    </mc:Choice>
  </mc:AlternateContent>
  <tableParts count="2">
    <tablePart r:id="rId6"/>
    <tablePart r:id="rId7"/>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C3988"/>
  </sheetPr>
  <dimension ref="A1:T361"/>
  <sheetViews>
    <sheetView showGridLines="0" zoomScale="85" zoomScaleNormal="85" workbookViewId="0">
      <pane ySplit="6" topLeftCell="A7" activePane="bottomLeft" state="frozen"/>
      <selection pane="bottomLeft" activeCell="S4" sqref="S4"/>
    </sheetView>
  </sheetViews>
  <sheetFormatPr baseColWidth="10" defaultColWidth="11.5546875" defaultRowHeight="14.4" outlineLevelRow="3"/>
  <cols>
    <col min="1" max="1" width="3.109375" style="283" customWidth="1"/>
    <col min="2" max="2" width="3.109375" style="114" customWidth="1"/>
    <col min="3" max="3" width="3.109375" style="283" customWidth="1"/>
    <col min="4" max="4" width="7.33203125" style="283" customWidth="1"/>
    <col min="5" max="5" width="32.6640625" style="283" customWidth="1"/>
    <col min="6" max="7" width="11.5546875" style="283"/>
    <col min="8" max="8" width="11.5546875" style="283" customWidth="1"/>
    <col min="9" max="9" width="11.5546875" style="283"/>
    <col min="10" max="10" width="11.5546875" style="283" customWidth="1"/>
    <col min="11" max="12" width="11.5546875" style="283"/>
    <col min="13" max="13" width="10.88671875" style="283" customWidth="1"/>
    <col min="14" max="14" width="12.5546875" style="283" customWidth="1"/>
    <col min="15" max="15" width="13.5546875" style="283" customWidth="1"/>
    <col min="16" max="16" width="13" style="283" customWidth="1"/>
    <col min="17" max="16384" width="11.5546875" style="283"/>
  </cols>
  <sheetData>
    <row r="1" spans="1:20" ht="25.95" customHeight="1" thickBot="1">
      <c r="D1" s="368"/>
      <c r="E1" s="619" t="s">
        <v>120</v>
      </c>
      <c r="F1" s="619"/>
      <c r="G1" s="619"/>
      <c r="H1" s="619"/>
      <c r="I1" s="619"/>
      <c r="J1" s="619"/>
      <c r="K1" s="619"/>
      <c r="L1" s="619"/>
      <c r="M1" s="619"/>
    </row>
    <row r="2" spans="1:20" ht="10.95" customHeight="1" thickTop="1">
      <c r="D2" s="2"/>
      <c r="E2" s="150"/>
      <c r="F2" s="150"/>
      <c r="G2" s="150"/>
      <c r="H2" s="150"/>
      <c r="I2" s="150"/>
      <c r="J2" s="150"/>
      <c r="K2" s="150"/>
      <c r="L2" s="150"/>
      <c r="M2" s="150"/>
    </row>
    <row r="3" spans="1:20" ht="28.95" customHeight="1">
      <c r="D3" s="2"/>
      <c r="E3" s="620" t="str">
        <f>HYPERLINK("#Bâtiments!E"&amp;TEXT(MATCH(E8,C1:C1109,0),"#"),E8)</f>
        <v>Hypothèses</v>
      </c>
      <c r="F3" s="621"/>
      <c r="G3" s="621"/>
      <c r="H3" s="621"/>
      <c r="I3" s="621"/>
      <c r="J3" s="631" t="str">
        <f>HYPERLINK("#Bâtiments!E"&amp;TEXT(MATCH(E302,C1:C1109,0),"#"),E302)</f>
        <v>Résultats</v>
      </c>
      <c r="K3" s="631"/>
      <c r="L3" s="631"/>
      <c r="M3" s="631"/>
      <c r="O3" s="623" t="s">
        <v>181</v>
      </c>
      <c r="P3" s="623"/>
      <c r="Q3" s="623"/>
      <c r="R3" s="628" t="s">
        <v>137</v>
      </c>
      <c r="S3" s="628"/>
      <c r="T3" s="628"/>
    </row>
    <row r="4" spans="1:20" ht="26.4" customHeight="1">
      <c r="D4" s="184"/>
      <c r="E4" s="357" t="str">
        <f>IFERROR(IF(Moteur!$D$14=3,HYPERLINK("#"&amp;$E$1&amp;"!E"&amp;TEXT(MATCH(Moteur!F34,$C1:$C1109,0),"#"),Moteur!F34),IF(Moteur!$D$14=2,HYPERLINK("#"&amp;$E$1&amp;"!E"&amp;TEXT(MATCH(Moteur!F35,$C1:$C1109,0),"#"),Moteur!F35),HYPERLINK("#"&amp;$E$1&amp;"!E"&amp;TEXT(MATCH(Moteur!F36,$C1:$C1109,0),"#"),Moteur!F36))),"")</f>
        <v>Parc de logements / residentiel</v>
      </c>
      <c r="F4" s="624" t="str">
        <f>IFERROR(IF(Moteur!$D$14=3,HYPERLINK("#"&amp;$E$1&amp;"!E"&amp;TEXT(MATCH(Moteur!G34,$C1:$C1109,0),"#"),Moteur!G34),IF(Moteur!$D$14=2,HYPERLINK("#"&amp;$E$1&amp;"!E"&amp;TEXT(MATCH(Moteur!G35,$C1:$C1109,0),"#"),Moteur!G35),HYPERLINK("#"&amp;$E$1&amp;"!E"&amp;TEXT(MATCH(Moteur!G36,$C1:$C1109,0),"#"),Moteur!G36))),"")</f>
        <v>Chauffage</v>
      </c>
      <c r="G4" s="625"/>
      <c r="H4" s="624" t="str">
        <f>IFERROR(IF(Moteur!$D$14=3,HYPERLINK("#"&amp;$E$1&amp;"!E"&amp;TEXT(MATCH(Moteur!H34,$C1:$C1109,0),"#"),Moteur!H34),IF(Moteur!$D$14=2,HYPERLINK("#"&amp;$E$1&amp;"!E"&amp;TEXT(MATCH(Moteur!H35,$C1:$C1109,0),"#"),Moteur!H35),HYPERLINK("#"&amp;$E$1&amp;"!E"&amp;TEXT(MATCH(Moteur!H36,$C1:$C1109,0),"#"),Moteur!H36))),"")</f>
        <v>Eau chaude sanitaire</v>
      </c>
      <c r="I4" s="625"/>
      <c r="J4" s="632" t="str">
        <f>HYPERLINK("#"&amp;$E$1&amp;"!E"&amp;TEXT(MATCH(F338,$C1:$C1109,0),"#"),F338)</f>
        <v>Emissions de gaz à effet de serre</v>
      </c>
      <c r="K4" s="633"/>
      <c r="L4" s="640" t="str">
        <f>HYPERLINK("#"&amp;$E$1&amp;"!E"&amp;TEXT(MATCH(F305,$C1:$C1109,0),"#"),F305)</f>
        <v>Consommations d'énergie</v>
      </c>
      <c r="M4" s="633"/>
      <c r="O4" s="359" t="str">
        <f>IF(Moteur!$D$6=3,HYPERLINK("#"&amp;Moteur!F5&amp;"!E1",Moteur!F5),IF(Moteur!$D$6=2,HYPERLINK("#"&amp;Moteur!F6&amp;"!E1",Moteur!F6),HYPERLINK("#"&amp;Moteur!F7&amp;"!E1",Moteur!F7)))</f>
        <v>Cadrage</v>
      </c>
      <c r="P4" s="359" t="str">
        <f>IF(Moteur!$D$6=3,HYPERLINK("#"&amp;Moteur!G5&amp;"!E1",Moteur!G5),IF(Moteur!$D$6=2,HYPERLINK("#"&amp;Moteur!G6&amp;"!E1",Moteur!G6),HYPERLINK("#"&amp;Moteur!G7&amp;"!E1",Moteur!G7)))</f>
        <v>Industrie</v>
      </c>
      <c r="Q4" s="360" t="str">
        <f>IF(Moteur!$D$6=3,HYPERLINK("#"&amp;Moteur!H5&amp;"!E1",Moteur!H5),IF(Moteur!$D$6=2,HYPERLINK("#"&amp;Moteur!H6&amp;"!E1",Moteur!H6),HYPERLINK("#"&amp;Moteur!H7&amp;"!E1",Moteur!H7)))</f>
        <v>Agriculture</v>
      </c>
      <c r="R4" s="362" t="str">
        <f>IF(Moteur!$D$6=3,HYPERLINK("#"&amp;Moteur!J5&amp;"!E1",Moteur!J5),IF(Moteur!$D$6=2,HYPERLINK("#"&amp;Moteur!J5&amp;"!E1",Moteur!J5),HYPERLINK("#"&amp;Moteur!J5&amp;"!E1",Moteur!J5)))</f>
        <v>Bilans</v>
      </c>
      <c r="S4" s="358" t="str">
        <f>IF(Moteur!$D$6=3,HYPERLINK("#"&amp;Moteur!K5&amp;"!E1",Moteur!K5),IF(Moteur!$D$6=2,HYPERLINK("#"&amp;Moteur!K5&amp;"!E1",Moteur!K5),HYPERLINK("#"&amp;Moteur!K5&amp;"!E1",Moteur!K5)))</f>
        <v>GES</v>
      </c>
      <c r="T4" s="478">
        <f>IF(Moteur!$D$6=3,HYPERLINK("#"&amp;Moteur!L5&amp;"!E1",Moteur!L5),IF(Moteur!$D$6=2,HYPERLINK("#"&amp;Moteur!L5&amp;"!E1",Moteur!L5),HYPERLINK("#"&amp;Moteur!L5&amp;"!E1",Moteur!L5)))</f>
        <v>0</v>
      </c>
    </row>
    <row r="5" spans="1:20" ht="26.4" customHeight="1">
      <c r="D5" s="184"/>
      <c r="E5" s="357" t="str">
        <f>IFERROR(IF(Moteur!$D$14=3,HYPERLINK("#"&amp;$E$1&amp;"!E"&amp;TEXT(MATCH(Moteur!F35,$C1:$C1109,0),"#"),Moteur!F35),IF(Moteur!$D$14=2,HYPERLINK("#"&amp;$E$1&amp;"!E"&amp;TEXT(MATCH(Moteur!F36,$C1:$C1109,0),"#"),Moteur!F36),HYPERLINK("#"&amp;$E$1&amp;"!E"&amp;TEXT(MATCH(Moteur!F37,$C1:$C1109,0),"#"),Moteur!F37))),"")</f>
        <v>Cuisson</v>
      </c>
      <c r="F5" s="624" t="str">
        <f>IFERROR(IF(Moteur!$D$14=3,HYPERLINK("#"&amp;$E$1&amp;"!E"&amp;TEXT(MATCH(Moteur!G35,$C1:$C1109,0),"#"),Moteur!G35),IF(Moteur!$D$14=2,HYPERLINK("#"&amp;$E$1&amp;"!E"&amp;TEXT(MATCH(Moteur!G36,$C1:$C1109,0),"#"),Moteur!G36),HYPERLINK("#"&amp;$E$1&amp;"!E"&amp;TEXT(MATCH(Moteur!G37,$C1:$C1109,0),"#"),Moteur!G37))),"")</f>
        <v>Electricité spécifique</v>
      </c>
      <c r="G5" s="625"/>
      <c r="H5" s="624" t="str">
        <f>IFERROR(IF(Moteur!$D$14=3,HYPERLINK("#"&amp;$E$1&amp;"!E"&amp;TEXT(MATCH(Moteur!H35,$C1:$C1109,0),"#"),Moteur!H35),IF(Moteur!$D$14=2,HYPERLINK("#"&amp;$E$1&amp;"!E"&amp;TEXT(MATCH(Moteur!H36,$C1:$C1109,0),"#"),Moteur!H36),HYPERLINK("#"&amp;$E$1&amp;"!E"&amp;TEXT(MATCH(Moteur!H37,$C1:$C1109,0),"#"),Moteur!H37))),"")</f>
        <v>Climatisation</v>
      </c>
      <c r="I5" s="625"/>
      <c r="J5" s="632"/>
      <c r="K5" s="633"/>
      <c r="L5" s="632"/>
      <c r="M5" s="633"/>
      <c r="O5" s="359" t="str">
        <f>IF(Moteur!$D$6=3,HYPERLINK("#"&amp;Moteur!F6&amp;"!E1",Moteur!F6),IF(Moteur!$D$6=2,HYPERLINK("#"&amp;Moteur!F7&amp;"!E1",Moteur!F7),""))</f>
        <v>Energie</v>
      </c>
      <c r="P5" s="359" t="str">
        <f>IF(Moteur!$D$6=3,HYPERLINK("#"&amp;Moteur!G6&amp;"!E1",Moteur!G6),IF(Moteur!$D$6=2,HYPERLINK("#"&amp;Moteur!G7&amp;"!E1",Moteur!G7),""))</f>
        <v>Transports</v>
      </c>
      <c r="Q5" s="361" t="str">
        <f>IF(Moteur!$D$6=3,HYPERLINK("#"&amp;Moteur!H6&amp;"!E1",Moteur!H6),IF(Moteur!$D$6=2,HYPERLINK("#"&amp;Moteur!H7&amp;"!E1",Moteur!H7),""))</f>
        <v>Déchets</v>
      </c>
      <c r="R5" s="479">
        <f>IF(Moteur!$D$6=3,HYPERLINK("#"&amp;Moteur!J6&amp;"!E1",Moteur!J6),IF(Moteur!$D$6=2,HYPERLINK("#"&amp;Moteur!J7&amp;"!E1",Moteur!J6),HYPERLINK("#"&amp;Moteur!J5&amp;"!E1",Moteur!J6)))</f>
        <v>0</v>
      </c>
      <c r="S5" s="358" t="str">
        <f>IF(Moteur!$D$6=3,HYPERLINK("#"&amp;Moteur!K6&amp;"!E1",Moteur!K6),IF(Moteur!$D$6=2,HYPERLINK("#"&amp;Moteur!K7&amp;"!E1",Moteur!K6),HYPERLINK("#"&amp;Moteur!K5&amp;"!E1",Moteur!K6)))</f>
        <v xml:space="preserve"> </v>
      </c>
      <c r="T5" s="358" t="str">
        <f>IF(Moteur!$D$6=3,HYPERLINK("#"&amp;Moteur!L6&amp;"!E1",Moteur!L6),IF(Moteur!$D$6=2,HYPERLINK("#"&amp;Moteur!L7&amp;"!E1",Moteur!L6),HYPERLINK("#"&amp;Moteur!L5&amp;"!E1",Moteur!L6)))</f>
        <v xml:space="preserve"> </v>
      </c>
    </row>
    <row r="6" spans="1:20" ht="11.4" customHeight="1">
      <c r="E6" s="152"/>
      <c r="F6" s="152"/>
      <c r="G6" s="152"/>
      <c r="H6" s="152"/>
      <c r="I6" s="152"/>
      <c r="J6" s="152"/>
      <c r="K6" s="152"/>
    </row>
    <row r="8" spans="1:20" ht="32.4" customHeight="1" thickBot="1">
      <c r="A8" s="363"/>
      <c r="C8" s="151" t="str">
        <f>IF(ISBLANK(E8),IF(ISBLANK(F8),"",F8),E8)</f>
        <v>Hypothèses</v>
      </c>
      <c r="D8" s="369"/>
      <c r="E8" s="617" t="s">
        <v>134</v>
      </c>
      <c r="F8" s="617"/>
      <c r="G8" s="617"/>
      <c r="H8" s="617"/>
      <c r="I8" s="617"/>
      <c r="J8" s="617"/>
      <c r="K8" s="617"/>
      <c r="L8" s="617"/>
      <c r="M8" s="369"/>
      <c r="N8" s="149"/>
    </row>
    <row r="9" spans="1:20" ht="15" thickTop="1">
      <c r="A9" s="363"/>
      <c r="C9" s="151" t="str">
        <f t="shared" ref="C9:C80" si="0">IF(ISBLANK(E9),IF(ISBLANK(F9),"",F9),E9)</f>
        <v/>
      </c>
      <c r="D9" s="3"/>
      <c r="E9" s="3"/>
      <c r="F9" s="3"/>
      <c r="G9" s="3"/>
      <c r="H9" s="3"/>
      <c r="I9" s="3"/>
      <c r="J9" s="3"/>
      <c r="K9" s="3"/>
      <c r="L9" s="3"/>
      <c r="M9" s="3"/>
    </row>
    <row r="10" spans="1:20" ht="14.4" customHeight="1">
      <c r="A10" s="363"/>
      <c r="C10" s="151" t="str">
        <f t="shared" si="0"/>
        <v/>
      </c>
      <c r="D10" s="112"/>
      <c r="E10" s="113"/>
      <c r="F10" s="113"/>
      <c r="G10" s="113"/>
      <c r="H10" s="113"/>
      <c r="I10" s="113"/>
      <c r="J10" s="113"/>
      <c r="K10" s="113"/>
      <c r="L10" s="113"/>
      <c r="M10" s="3"/>
    </row>
    <row r="11" spans="1:20" ht="28.8" thickBot="1">
      <c r="A11" s="363"/>
      <c r="B11" s="364"/>
      <c r="C11" s="151" t="str">
        <f t="shared" si="0"/>
        <v>Parc de logements / residentiel</v>
      </c>
      <c r="D11" s="369"/>
      <c r="E11" s="370"/>
      <c r="F11" s="617" t="s">
        <v>674</v>
      </c>
      <c r="G11" s="617"/>
      <c r="H11" s="617"/>
      <c r="I11" s="617"/>
      <c r="J11" s="617"/>
      <c r="K11" s="617"/>
      <c r="L11" s="617"/>
      <c r="M11" s="617"/>
    </row>
    <row r="12" spans="1:20" ht="15" thickTop="1">
      <c r="A12" s="363"/>
      <c r="B12" s="364"/>
      <c r="C12" s="151" t="str">
        <f t="shared" si="0"/>
        <v/>
      </c>
    </row>
    <row r="13" spans="1:20" outlineLevel="1">
      <c r="A13" s="363"/>
      <c r="B13" s="364"/>
      <c r="C13" s="151" t="str">
        <f t="shared" si="0"/>
        <v/>
      </c>
      <c r="D13" s="115"/>
      <c r="E13" s="115"/>
      <c r="F13" s="115"/>
      <c r="G13" s="115"/>
      <c r="H13" s="115"/>
      <c r="I13" s="115"/>
      <c r="J13" s="115"/>
      <c r="K13" s="115"/>
      <c r="L13" s="115"/>
      <c r="M13" s="115"/>
    </row>
    <row r="14" spans="1:20" ht="15" outlineLevel="1" thickBot="1">
      <c r="A14" s="363"/>
      <c r="B14" s="364"/>
      <c r="C14" s="151" t="str">
        <f t="shared" si="0"/>
        <v xml:space="preserve">Hypothèses sur le parc résidentiel </v>
      </c>
      <c r="D14" s="115"/>
      <c r="E14" s="615" t="s">
        <v>675</v>
      </c>
      <c r="F14" s="615"/>
      <c r="G14" s="615"/>
      <c r="H14" s="615"/>
      <c r="I14" s="615"/>
      <c r="J14" s="615"/>
      <c r="K14" s="615"/>
      <c r="L14" s="615"/>
      <c r="M14" s="115"/>
    </row>
    <row r="15" spans="1:20" outlineLevel="2">
      <c r="A15" s="363"/>
      <c r="B15" s="364"/>
      <c r="C15" s="151" t="str">
        <f t="shared" si="0"/>
        <v>Hypothèse</v>
      </c>
      <c r="D15" s="115"/>
      <c r="E15" s="200" t="s">
        <v>676</v>
      </c>
      <c r="F15" s="201" t="s">
        <v>677</v>
      </c>
      <c r="G15" s="201" t="s">
        <v>314</v>
      </c>
      <c r="H15" s="201" t="s">
        <v>125</v>
      </c>
      <c r="I15" s="201" t="s">
        <v>315</v>
      </c>
      <c r="J15" s="201" t="s">
        <v>316</v>
      </c>
      <c r="K15" s="201" t="s">
        <v>317</v>
      </c>
      <c r="L15" s="202" t="s">
        <v>133</v>
      </c>
      <c r="M15" s="115"/>
    </row>
    <row r="16" spans="1:20" outlineLevel="2">
      <c r="A16" s="363"/>
      <c r="B16" s="364"/>
      <c r="C16" s="151" t="str">
        <f t="shared" si="0"/>
        <v>Population totale (Mhab hexagone)</v>
      </c>
      <c r="D16" s="115"/>
      <c r="E16" s="280" t="s">
        <v>678</v>
      </c>
      <c r="F16" s="212">
        <v>65.3</v>
      </c>
      <c r="G16" s="213"/>
      <c r="H16" s="213">
        <v>66.5</v>
      </c>
      <c r="I16" s="213"/>
      <c r="J16" s="213">
        <v>67</v>
      </c>
      <c r="K16" s="213"/>
      <c r="L16" s="279">
        <v>67</v>
      </c>
      <c r="M16" s="115"/>
    </row>
    <row r="17" spans="1:13" outlineLevel="2">
      <c r="A17" s="363"/>
      <c r="B17" s="364"/>
      <c r="C17" s="151" t="str">
        <f t="shared" si="0"/>
        <v>Personnes par logement</v>
      </c>
      <c r="D17" s="115"/>
      <c r="E17" s="193" t="s">
        <v>679</v>
      </c>
      <c r="F17" s="294">
        <v>2.17</v>
      </c>
      <c r="G17" s="295"/>
      <c r="H17" s="295">
        <v>2.0699999999999998</v>
      </c>
      <c r="I17" s="295"/>
      <c r="J17" s="295">
        <v>2</v>
      </c>
      <c r="K17" s="295"/>
      <c r="L17" s="296">
        <v>1.98</v>
      </c>
      <c r="M17" s="115"/>
    </row>
    <row r="18" spans="1:13" outlineLevel="2">
      <c r="A18" s="363"/>
      <c r="B18" s="364"/>
      <c r="C18" s="151" t="str">
        <f t="shared" si="0"/>
        <v>Nombre de destructions (milliers/an)</v>
      </c>
      <c r="D18" s="115"/>
      <c r="E18" s="193" t="s">
        <v>1088</v>
      </c>
      <c r="F18" s="231">
        <v>34</v>
      </c>
      <c r="G18" s="232"/>
      <c r="H18" s="232">
        <v>36</v>
      </c>
      <c r="I18" s="232"/>
      <c r="J18" s="232">
        <v>39</v>
      </c>
      <c r="K18" s="232"/>
      <c r="L18" s="297">
        <v>41</v>
      </c>
      <c r="M18" s="115"/>
    </row>
    <row r="19" spans="1:13" outlineLevel="2">
      <c r="A19" s="363"/>
      <c r="B19" s="364"/>
      <c r="C19" s="151" t="str">
        <f t="shared" si="0"/>
        <v>Part de maisons individuelles dans la construction neuve (%)</v>
      </c>
      <c r="D19" s="115"/>
      <c r="E19" s="193" t="s">
        <v>680</v>
      </c>
      <c r="F19" s="298">
        <v>0.45</v>
      </c>
      <c r="G19" s="299"/>
      <c r="H19" s="299">
        <v>0.45</v>
      </c>
      <c r="I19" s="299"/>
      <c r="J19" s="299">
        <v>0.45</v>
      </c>
      <c r="K19" s="299"/>
      <c r="L19" s="300">
        <v>0.45</v>
      </c>
      <c r="M19" s="115"/>
    </row>
    <row r="20" spans="1:13" outlineLevel="2">
      <c r="A20" s="363"/>
      <c r="B20" s="364"/>
      <c r="C20" s="151" t="str">
        <f t="shared" si="0"/>
        <v>Taille moyenne des maisons individuelles (surface habitable en m2)</v>
      </c>
      <c r="D20" s="115"/>
      <c r="E20" s="193" t="s">
        <v>681</v>
      </c>
      <c r="F20" s="135">
        <v>115</v>
      </c>
      <c r="G20" s="136"/>
      <c r="H20" s="136">
        <v>120</v>
      </c>
      <c r="I20" s="136"/>
      <c r="J20" s="136">
        <v>120</v>
      </c>
      <c r="K20" s="136"/>
      <c r="L20" s="195">
        <v>120</v>
      </c>
      <c r="M20" s="115"/>
    </row>
    <row r="21" spans="1:13" outlineLevel="2">
      <c r="A21" s="363"/>
      <c r="B21" s="364"/>
      <c r="C21" s="151" t="str">
        <f t="shared" si="0"/>
        <v>Taille moyenne des logements collectifs (surface habitable en m2)</v>
      </c>
      <c r="D21" s="115"/>
      <c r="E21" s="193" t="s">
        <v>682</v>
      </c>
      <c r="F21" s="231">
        <v>64</v>
      </c>
      <c r="G21" s="232"/>
      <c r="H21" s="232">
        <v>68</v>
      </c>
      <c r="I21" s="232"/>
      <c r="J21" s="232">
        <v>68</v>
      </c>
      <c r="K21" s="232"/>
      <c r="L21" s="297">
        <v>68</v>
      </c>
      <c r="M21" s="115"/>
    </row>
    <row r="22" spans="1:13" outlineLevel="2">
      <c r="A22" s="363"/>
      <c r="B22" s="364"/>
      <c r="C22" s="151" t="str">
        <f t="shared" si="0"/>
        <v>Nombre de logements créés à partir de surfaces tertiaires existantes (milliers)</v>
      </c>
      <c r="D22" s="115"/>
      <c r="E22" s="193" t="s">
        <v>683</v>
      </c>
      <c r="F22" s="231">
        <v>5</v>
      </c>
      <c r="G22" s="232"/>
      <c r="H22" s="232">
        <v>5</v>
      </c>
      <c r="I22" s="232"/>
      <c r="J22" s="232" t="s">
        <v>452</v>
      </c>
      <c r="K22" s="232"/>
      <c r="L22" s="297" t="s">
        <v>452</v>
      </c>
      <c r="M22" s="115"/>
    </row>
    <row r="23" spans="1:13" outlineLevel="2">
      <c r="A23" s="363"/>
      <c r="B23" s="364"/>
      <c r="C23" s="151" t="str">
        <f t="shared" si="0"/>
        <v>Part de résidences secondaires sur parc total (%)</v>
      </c>
      <c r="D23" s="115"/>
      <c r="E23" s="193" t="s">
        <v>684</v>
      </c>
      <c r="F23" s="301">
        <v>0.1</v>
      </c>
      <c r="G23" s="302"/>
      <c r="H23" s="302">
        <v>0.11</v>
      </c>
      <c r="I23" s="302"/>
      <c r="J23" s="302">
        <v>0.115</v>
      </c>
      <c r="K23" s="302"/>
      <c r="L23" s="303">
        <v>0.115</v>
      </c>
      <c r="M23" s="115"/>
    </row>
    <row r="24" spans="1:13" outlineLevel="2">
      <c r="A24" s="363"/>
      <c r="B24" s="364"/>
      <c r="C24" s="151" t="str">
        <f t="shared" si="0"/>
        <v>Taux de vacance des logements (%)</v>
      </c>
      <c r="D24" s="115"/>
      <c r="E24" s="193" t="s">
        <v>685</v>
      </c>
      <c r="F24" s="304">
        <v>8.14E-2</v>
      </c>
      <c r="G24" s="305"/>
      <c r="H24" s="305">
        <v>8.7599999999999997E-2</v>
      </c>
      <c r="I24" s="305"/>
      <c r="J24" s="305">
        <v>9.3799999999999994E-2</v>
      </c>
      <c r="K24" s="305"/>
      <c r="L24" s="306">
        <v>9.3799999999999994E-2</v>
      </c>
      <c r="M24" s="115"/>
    </row>
    <row r="25" spans="1:13" ht="43.2" outlineLevel="2">
      <c r="A25" s="363"/>
      <c r="B25" s="364"/>
      <c r="C25" s="151" t="str">
        <f t="shared" si="0"/>
        <v>Nombre de logements manquant (inadéquation et mal logement) (milliers)</v>
      </c>
      <c r="D25" s="115"/>
      <c r="E25" s="602" t="s">
        <v>1089</v>
      </c>
      <c r="F25" s="307">
        <v>988</v>
      </c>
      <c r="G25" s="308"/>
      <c r="H25" s="308">
        <v>823</v>
      </c>
      <c r="I25" s="308"/>
      <c r="J25" s="308">
        <v>658</v>
      </c>
      <c r="K25" s="308"/>
      <c r="L25" s="309">
        <v>494</v>
      </c>
      <c r="M25" s="115"/>
    </row>
    <row r="26" spans="1:13" ht="14.4" customHeight="1" outlineLevel="2">
      <c r="A26" s="363"/>
      <c r="B26" s="364"/>
      <c r="C26" s="151" t="str">
        <f t="shared" si="0"/>
        <v xml:space="preserve"> Périmètre hexagone</v>
      </c>
      <c r="D26" s="115"/>
      <c r="E26" s="645" t="s">
        <v>967</v>
      </c>
      <c r="F26" s="645"/>
      <c r="G26" s="645"/>
      <c r="H26" s="645"/>
      <c r="I26" s="645"/>
      <c r="J26" s="645"/>
      <c r="K26" s="645"/>
      <c r="L26" s="645"/>
      <c r="M26" s="115"/>
    </row>
    <row r="27" spans="1:13" outlineLevel="1">
      <c r="A27" s="363"/>
      <c r="B27" s="364"/>
      <c r="C27" s="151"/>
      <c r="D27" s="115"/>
      <c r="E27" s="288"/>
      <c r="F27" s="288"/>
      <c r="G27" s="288"/>
      <c r="H27" s="288"/>
      <c r="I27" s="288"/>
      <c r="J27" s="288"/>
      <c r="K27" s="288"/>
      <c r="L27" s="288"/>
      <c r="M27" s="115"/>
    </row>
    <row r="28" spans="1:13" ht="15" outlineLevel="1" thickBot="1">
      <c r="A28" s="363"/>
      <c r="B28" s="364"/>
      <c r="C28" s="151" t="str">
        <f t="shared" ref="C28:C39" si="1">IF(ISBLANK(E28),IF(ISBLANK(F28),"",F28),E28)</f>
        <v xml:space="preserve">Construction neuve pour le parc résidentiel </v>
      </c>
      <c r="D28" s="115"/>
      <c r="E28" s="615" t="s">
        <v>686</v>
      </c>
      <c r="F28" s="615"/>
      <c r="G28" s="615"/>
      <c r="H28" s="615"/>
      <c r="I28" s="615"/>
      <c r="J28" s="615"/>
      <c r="K28" s="615"/>
      <c r="L28" s="615"/>
      <c r="M28" s="115"/>
    </row>
    <row r="29" spans="1:13" outlineLevel="2">
      <c r="A29" s="363"/>
      <c r="B29" s="364"/>
      <c r="C29" s="151" t="str">
        <f t="shared" si="1"/>
        <v>Hypothèse</v>
      </c>
      <c r="D29" s="115"/>
      <c r="E29" s="200" t="s">
        <v>676</v>
      </c>
      <c r="F29" s="201" t="s">
        <v>687</v>
      </c>
      <c r="G29" s="201" t="s">
        <v>452</v>
      </c>
      <c r="H29" s="201" t="s">
        <v>688</v>
      </c>
      <c r="I29" s="201" t="s">
        <v>689</v>
      </c>
      <c r="J29" s="201" t="s">
        <v>690</v>
      </c>
      <c r="K29" s="201" t="s">
        <v>691</v>
      </c>
      <c r="L29" s="202" t="s">
        <v>692</v>
      </c>
      <c r="M29" s="115"/>
    </row>
    <row r="30" spans="1:13" ht="28.8" outlineLevel="2">
      <c r="A30" s="363"/>
      <c r="B30" s="364"/>
      <c r="C30" s="151" t="str">
        <f t="shared" si="1"/>
        <v>Construction neuve cumulée sur la période</v>
      </c>
      <c r="D30" s="115"/>
      <c r="E30" s="603" t="s">
        <v>693</v>
      </c>
      <c r="F30" s="310" t="s">
        <v>694</v>
      </c>
      <c r="G30" s="133"/>
      <c r="H30" s="311" t="s">
        <v>695</v>
      </c>
      <c r="I30" s="133"/>
      <c r="J30" s="311" t="s">
        <v>696</v>
      </c>
      <c r="K30" s="133"/>
      <c r="L30" s="311">
        <v>947061</v>
      </c>
      <c r="M30" s="115"/>
    </row>
    <row r="31" spans="1:13" ht="24" customHeight="1" outlineLevel="3">
      <c r="A31" s="363"/>
      <c r="B31" s="364"/>
      <c r="C31" s="151" t="str">
        <f t="shared" si="1"/>
        <v xml:space="preserve">  Dont réponse à l’évolution du nombre de ménages</v>
      </c>
      <c r="D31" s="115"/>
      <c r="E31" s="604" t="s">
        <v>1090</v>
      </c>
      <c r="F31" s="312" t="s">
        <v>697</v>
      </c>
      <c r="G31" s="295"/>
      <c r="H31" s="313" t="s">
        <v>698</v>
      </c>
      <c r="I31" s="295"/>
      <c r="J31" s="313" t="s">
        <v>699</v>
      </c>
      <c r="K31" s="295"/>
      <c r="L31" s="313">
        <v>287431</v>
      </c>
      <c r="M31" s="115"/>
    </row>
    <row r="32" spans="1:13" outlineLevel="3">
      <c r="A32" s="363"/>
      <c r="B32" s="364"/>
      <c r="C32" s="151" t="str">
        <f t="shared" si="1"/>
        <v xml:space="preserve">  Dont maison individuelle</v>
      </c>
      <c r="D32" s="115"/>
      <c r="E32" s="604" t="s">
        <v>1091</v>
      </c>
      <c r="F32" s="312">
        <v>532243</v>
      </c>
      <c r="G32" s="232"/>
      <c r="H32" s="313">
        <v>920463</v>
      </c>
      <c r="I32" s="232"/>
      <c r="J32" s="313">
        <v>576978</v>
      </c>
      <c r="K32" s="232"/>
      <c r="L32" s="313">
        <v>129344</v>
      </c>
      <c r="M32" s="115"/>
    </row>
    <row r="33" spans="1:13" outlineLevel="3">
      <c r="A33" s="363"/>
      <c r="B33" s="364"/>
      <c r="C33" s="151" t="str">
        <f t="shared" si="1"/>
        <v xml:space="preserve">  Dont logement collectif</v>
      </c>
      <c r="D33" s="115"/>
      <c r="E33" s="604" t="s">
        <v>1092</v>
      </c>
      <c r="F33" s="312">
        <v>650520</v>
      </c>
      <c r="G33" s="299"/>
      <c r="H33" s="313" t="s">
        <v>700</v>
      </c>
      <c r="I33" s="299"/>
      <c r="J33" s="313">
        <v>705196</v>
      </c>
      <c r="K33" s="299"/>
      <c r="L33" s="313">
        <v>158087</v>
      </c>
      <c r="M33" s="115"/>
    </row>
    <row r="34" spans="1:13" ht="21.6" outlineLevel="3">
      <c r="A34" s="363"/>
      <c r="B34" s="364"/>
      <c r="C34" s="151" t="str">
        <f t="shared" si="1"/>
        <v xml:space="preserve">  Dont réponse à l’évolution du nombre de logements vacants</v>
      </c>
      <c r="D34" s="115"/>
      <c r="E34" s="604" t="s">
        <v>1093</v>
      </c>
      <c r="F34" s="312">
        <v>181000</v>
      </c>
      <c r="G34" s="136"/>
      <c r="H34" s="313">
        <v>543578</v>
      </c>
      <c r="I34" s="136"/>
      <c r="J34" s="313">
        <v>450808</v>
      </c>
      <c r="K34" s="136"/>
      <c r="L34" s="313">
        <v>37026</v>
      </c>
      <c r="M34" s="115"/>
    </row>
    <row r="35" spans="1:13" ht="21.6" outlineLevel="3">
      <c r="A35" s="363"/>
      <c r="B35" s="364"/>
      <c r="C35" s="151" t="str">
        <f t="shared" si="1"/>
        <v xml:space="preserve">  Dont réponse à l’évolution du nombre de résidences secondaires</v>
      </c>
      <c r="D35" s="115"/>
      <c r="E35" s="604" t="s">
        <v>1094</v>
      </c>
      <c r="F35" s="312">
        <v>225000</v>
      </c>
      <c r="G35" s="232"/>
      <c r="H35" s="313">
        <v>789872</v>
      </c>
      <c r="I35" s="232"/>
      <c r="J35" s="313">
        <v>450470</v>
      </c>
      <c r="K35" s="232"/>
      <c r="L35" s="313">
        <v>45394</v>
      </c>
      <c r="M35" s="115"/>
    </row>
    <row r="36" spans="1:13" outlineLevel="3">
      <c r="A36" s="363"/>
      <c r="B36" s="364"/>
      <c r="C36" s="151" t="str">
        <f t="shared" si="1"/>
        <v xml:space="preserve">  Dont compensation des destructions</v>
      </c>
      <c r="D36" s="115"/>
      <c r="E36" s="604" t="s">
        <v>1095</v>
      </c>
      <c r="F36" s="312">
        <v>171187</v>
      </c>
      <c r="G36" s="232"/>
      <c r="H36" s="313">
        <v>357337</v>
      </c>
      <c r="I36" s="232"/>
      <c r="J36" s="313">
        <v>391225</v>
      </c>
      <c r="K36" s="232"/>
      <c r="L36" s="313">
        <v>413210</v>
      </c>
      <c r="M36" s="115"/>
    </row>
    <row r="37" spans="1:13" ht="28.8" outlineLevel="2">
      <c r="A37" s="363"/>
      <c r="B37" s="364"/>
      <c r="C37" s="151" t="str">
        <f t="shared" si="1"/>
        <v>Construction neuve (logements/an en moyenne sur la décennie)</v>
      </c>
      <c r="D37" s="115"/>
      <c r="E37" s="603" t="s">
        <v>1096</v>
      </c>
      <c r="F37" s="310">
        <v>351990</v>
      </c>
      <c r="G37" s="314"/>
      <c r="H37" s="311">
        <v>385206</v>
      </c>
      <c r="I37" s="314"/>
      <c r="J37" s="311">
        <v>273968</v>
      </c>
      <c r="K37" s="314"/>
      <c r="L37" s="311">
        <v>94706</v>
      </c>
      <c r="M37" s="115"/>
    </row>
    <row r="38" spans="1:13" outlineLevel="2">
      <c r="A38" s="363"/>
      <c r="B38" s="364"/>
      <c r="C38" s="151" t="str">
        <f t="shared" si="1"/>
        <v xml:space="preserve">  Dont résidences principales</v>
      </c>
      <c r="D38" s="115"/>
      <c r="E38" s="605" t="s">
        <v>1097</v>
      </c>
      <c r="F38" s="312">
        <v>270790</v>
      </c>
      <c r="G38" s="305"/>
      <c r="H38" s="313">
        <v>240281</v>
      </c>
      <c r="I38" s="305"/>
      <c r="J38" s="313">
        <v>167339</v>
      </c>
      <c r="K38" s="305"/>
      <c r="L38" s="313" t="s">
        <v>701</v>
      </c>
      <c r="M38" s="115"/>
    </row>
    <row r="39" spans="1:13" ht="14.4" customHeight="1" outlineLevel="2">
      <c r="A39" s="363"/>
      <c r="B39" s="364"/>
      <c r="C39" s="151" t="str">
        <f t="shared" si="1"/>
        <v xml:space="preserve"> Périmètre hexagone</v>
      </c>
      <c r="D39" s="115"/>
      <c r="E39" s="645" t="s">
        <v>967</v>
      </c>
      <c r="F39" s="645"/>
      <c r="G39" s="645"/>
      <c r="H39" s="645"/>
      <c r="I39" s="645"/>
      <c r="J39" s="645"/>
      <c r="K39" s="645"/>
      <c r="L39" s="645"/>
      <c r="M39" s="115"/>
    </row>
    <row r="40" spans="1:13" outlineLevel="1">
      <c r="A40" s="363"/>
      <c r="B40" s="365"/>
      <c r="C40" s="151"/>
      <c r="D40" s="115"/>
      <c r="E40" s="288"/>
      <c r="F40" s="288"/>
      <c r="G40" s="288"/>
      <c r="H40" s="288"/>
      <c r="I40" s="288"/>
      <c r="J40" s="288"/>
      <c r="K40" s="288"/>
      <c r="L40" s="288"/>
      <c r="M40" s="115"/>
    </row>
    <row r="41" spans="1:13" s="399" customFormat="1" ht="15" outlineLevel="1" thickBot="1">
      <c r="A41" s="363"/>
      <c r="B41" s="365"/>
      <c r="C41" s="151"/>
      <c r="D41" s="115"/>
      <c r="E41" s="615" t="s">
        <v>903</v>
      </c>
      <c r="F41" s="615"/>
      <c r="G41" s="615"/>
      <c r="H41" s="615"/>
      <c r="I41" s="615"/>
      <c r="J41" s="615"/>
      <c r="K41" s="615"/>
      <c r="L41" s="615"/>
      <c r="M41" s="115"/>
    </row>
    <row r="42" spans="1:13" s="399" customFormat="1" outlineLevel="2">
      <c r="A42" s="363"/>
      <c r="B42" s="365"/>
      <c r="C42" s="151"/>
      <c r="D42" s="115"/>
      <c r="E42" s="227" t="s">
        <v>904</v>
      </c>
      <c r="F42" s="228">
        <v>2020</v>
      </c>
      <c r="G42" s="228">
        <v>2025</v>
      </c>
      <c r="H42" s="228">
        <v>2030</v>
      </c>
      <c r="I42" s="228">
        <v>2035</v>
      </c>
      <c r="J42" s="228">
        <v>2040</v>
      </c>
      <c r="K42" s="228">
        <v>2045</v>
      </c>
      <c r="L42" s="229">
        <v>2050</v>
      </c>
      <c r="M42" s="115"/>
    </row>
    <row r="43" spans="1:13" s="399" customFormat="1" outlineLevel="2">
      <c r="A43" s="363"/>
      <c r="B43" s="365"/>
      <c r="C43" s="151"/>
      <c r="D43" s="115"/>
      <c r="E43" s="179" t="s">
        <v>704</v>
      </c>
      <c r="F43" s="248">
        <v>28.109898954794737</v>
      </c>
      <c r="G43" s="249"/>
      <c r="H43" s="249">
        <v>26.3</v>
      </c>
      <c r="I43" s="249"/>
      <c r="J43" s="249">
        <v>26.3</v>
      </c>
      <c r="K43" s="249"/>
      <c r="L43" s="249">
        <v>26.3</v>
      </c>
      <c r="M43" s="115"/>
    </row>
    <row r="44" spans="1:13" s="399" customFormat="1" outlineLevel="1">
      <c r="A44" s="363"/>
      <c r="B44" s="365"/>
      <c r="C44" s="151"/>
      <c r="D44" s="115"/>
      <c r="E44" s="645" t="s">
        <v>967</v>
      </c>
      <c r="F44" s="645"/>
      <c r="G44" s="645"/>
      <c r="H44" s="645"/>
      <c r="I44" s="645"/>
      <c r="J44" s="645"/>
      <c r="K44" s="645"/>
      <c r="L44" s="645"/>
      <c r="M44" s="115"/>
    </row>
    <row r="45" spans="1:13" s="399" customFormat="1" outlineLevel="1">
      <c r="A45" s="363"/>
      <c r="B45" s="365"/>
      <c r="C45" s="151"/>
      <c r="D45" s="115"/>
      <c r="E45" s="402"/>
      <c r="F45" s="402"/>
      <c r="G45" s="402"/>
      <c r="H45" s="402"/>
      <c r="I45" s="402"/>
      <c r="J45" s="402"/>
      <c r="K45" s="402"/>
      <c r="L45" s="402"/>
      <c r="M45" s="115"/>
    </row>
    <row r="46" spans="1:13" ht="15" outlineLevel="1" thickBot="1">
      <c r="A46" s="363"/>
      <c r="B46" s="365"/>
      <c r="C46" s="151" t="str">
        <f t="shared" si="0"/>
        <v>Evolution du parc tertiaire (milliers de m2)</v>
      </c>
      <c r="D46" s="115"/>
      <c r="E46" s="615" t="s">
        <v>702</v>
      </c>
      <c r="F46" s="615"/>
      <c r="G46" s="615"/>
      <c r="H46" s="615"/>
      <c r="I46" s="615"/>
      <c r="J46" s="615"/>
      <c r="K46" s="615"/>
      <c r="L46" s="615"/>
      <c r="M46" s="115"/>
    </row>
    <row r="47" spans="1:13" outlineLevel="2">
      <c r="A47" s="363"/>
      <c r="B47" s="365"/>
      <c r="C47" s="151" t="str">
        <f t="shared" si="0"/>
        <v>milliers de m2</v>
      </c>
      <c r="D47" s="115"/>
      <c r="E47" s="227" t="s">
        <v>703</v>
      </c>
      <c r="F47" s="228">
        <v>2020</v>
      </c>
      <c r="G47" s="228">
        <v>2025</v>
      </c>
      <c r="H47" s="228">
        <v>2030</v>
      </c>
      <c r="I47" s="228">
        <v>2035</v>
      </c>
      <c r="J47" s="228">
        <v>2040</v>
      </c>
      <c r="K47" s="228">
        <v>2045</v>
      </c>
      <c r="L47" s="229">
        <v>2050</v>
      </c>
      <c r="M47" s="115"/>
    </row>
    <row r="48" spans="1:13" outlineLevel="2">
      <c r="A48" s="363"/>
      <c r="B48" s="365"/>
      <c r="C48" s="151" t="str">
        <f t="shared" si="0"/>
        <v>Total</v>
      </c>
      <c r="D48" s="115"/>
      <c r="E48" s="129" t="s">
        <v>144</v>
      </c>
      <c r="F48" s="310">
        <v>983437</v>
      </c>
      <c r="G48" s="311"/>
      <c r="H48" s="311">
        <v>1003011</v>
      </c>
      <c r="I48" s="311"/>
      <c r="J48" s="311">
        <v>1018592</v>
      </c>
      <c r="K48" s="311"/>
      <c r="L48" s="315">
        <v>1009457</v>
      </c>
      <c r="M48" s="115"/>
    </row>
    <row r="49" spans="1:13" outlineLevel="2">
      <c r="A49" s="363"/>
      <c r="B49" s="365"/>
      <c r="C49" s="151" t="str">
        <f t="shared" si="0"/>
        <v>Bureaux Administration</v>
      </c>
      <c r="D49" s="115"/>
      <c r="E49" s="122" t="s">
        <v>704</v>
      </c>
      <c r="F49" s="312">
        <v>287334</v>
      </c>
      <c r="G49" s="313"/>
      <c r="H49" s="313">
        <v>275542</v>
      </c>
      <c r="I49" s="313"/>
      <c r="J49" s="313">
        <v>276002</v>
      </c>
      <c r="K49" s="313"/>
      <c r="L49" s="316">
        <v>269747</v>
      </c>
      <c r="M49" s="115"/>
    </row>
    <row r="50" spans="1:13" outlineLevel="2">
      <c r="A50" s="363"/>
      <c r="B50" s="365"/>
      <c r="C50" s="151" t="str">
        <f t="shared" si="0"/>
        <v>Café Hôtel Restaurant</v>
      </c>
      <c r="D50" s="115"/>
      <c r="E50" s="122" t="s">
        <v>705</v>
      </c>
      <c r="F50" s="312">
        <v>67244</v>
      </c>
      <c r="G50" s="313"/>
      <c r="H50" s="313">
        <v>69862</v>
      </c>
      <c r="I50" s="313"/>
      <c r="J50" s="313">
        <v>70898</v>
      </c>
      <c r="K50" s="313"/>
      <c r="L50" s="316">
        <v>70213</v>
      </c>
      <c r="M50" s="115"/>
    </row>
    <row r="51" spans="1:13" outlineLevel="2">
      <c r="A51" s="363"/>
      <c r="B51" s="365"/>
      <c r="C51" s="151" t="str">
        <f t="shared" si="0"/>
        <v>Commerce</v>
      </c>
      <c r="D51" s="115"/>
      <c r="E51" s="122" t="s">
        <v>706</v>
      </c>
      <c r="F51" s="312">
        <v>184230</v>
      </c>
      <c r="G51" s="313"/>
      <c r="H51" s="313">
        <v>188846</v>
      </c>
      <c r="I51" s="313"/>
      <c r="J51" s="313">
        <v>189053</v>
      </c>
      <c r="K51" s="313"/>
      <c r="L51" s="316">
        <v>184659</v>
      </c>
      <c r="M51" s="115"/>
    </row>
    <row r="52" spans="1:13" outlineLevel="2">
      <c r="A52" s="363"/>
      <c r="B52" s="365"/>
      <c r="C52" s="151" t="str">
        <f t="shared" si="0"/>
        <v>Enseignement Recherche</v>
      </c>
      <c r="D52" s="115"/>
      <c r="E52" s="122" t="s">
        <v>707</v>
      </c>
      <c r="F52" s="312">
        <v>167107</v>
      </c>
      <c r="G52" s="313"/>
      <c r="H52" s="313">
        <v>169585</v>
      </c>
      <c r="I52" s="313"/>
      <c r="J52" s="313">
        <v>168013</v>
      </c>
      <c r="K52" s="313"/>
      <c r="L52" s="316">
        <v>162344</v>
      </c>
      <c r="M52" s="115"/>
    </row>
    <row r="53" spans="1:13" outlineLevel="2">
      <c r="A53" s="363"/>
      <c r="B53" s="365"/>
      <c r="C53" s="151" t="str">
        <f t="shared" si="0"/>
        <v>Santé Action Sociale</v>
      </c>
      <c r="D53" s="115"/>
      <c r="E53" s="122" t="s">
        <v>708</v>
      </c>
      <c r="F53" s="312">
        <v>179200</v>
      </c>
      <c r="G53" s="313"/>
      <c r="H53" s="313">
        <v>197027</v>
      </c>
      <c r="I53" s="313"/>
      <c r="J53" s="313">
        <v>210960</v>
      </c>
      <c r="K53" s="313"/>
      <c r="L53" s="316">
        <v>219829</v>
      </c>
      <c r="M53" s="115"/>
    </row>
    <row r="54" spans="1:13" outlineLevel="2">
      <c r="A54" s="363"/>
      <c r="B54" s="365"/>
      <c r="C54" s="151" t="str">
        <f t="shared" si="0"/>
        <v>Sport Loisir Culture</v>
      </c>
      <c r="D54" s="115"/>
      <c r="E54" s="122" t="s">
        <v>709</v>
      </c>
      <c r="F54" s="312">
        <v>56508</v>
      </c>
      <c r="G54" s="313"/>
      <c r="H54" s="313">
        <v>58708</v>
      </c>
      <c r="I54" s="313"/>
      <c r="J54" s="313">
        <v>59579</v>
      </c>
      <c r="K54" s="313"/>
      <c r="L54" s="316">
        <v>59004</v>
      </c>
      <c r="M54" s="115"/>
    </row>
    <row r="55" spans="1:13" outlineLevel="2">
      <c r="A55" s="363"/>
      <c r="B55" s="365"/>
      <c r="C55" s="151" t="str">
        <f t="shared" si="0"/>
        <v>Transport</v>
      </c>
      <c r="D55" s="115"/>
      <c r="E55" s="122" t="s">
        <v>1</v>
      </c>
      <c r="F55" s="312">
        <v>41815</v>
      </c>
      <c r="G55" s="313"/>
      <c r="H55" s="313">
        <v>43442</v>
      </c>
      <c r="I55" s="313"/>
      <c r="J55" s="313">
        <v>44087</v>
      </c>
      <c r="K55" s="313"/>
      <c r="L55" s="316">
        <v>43661</v>
      </c>
      <c r="M55" s="115"/>
    </row>
    <row r="56" spans="1:13" outlineLevel="2">
      <c r="A56" s="363"/>
      <c r="B56" s="365"/>
      <c r="C56" s="151" t="str">
        <f t="shared" si="0"/>
        <v xml:space="preserve"> Périmètre hexagone</v>
      </c>
      <c r="D56" s="115"/>
      <c r="E56" s="645" t="s">
        <v>967</v>
      </c>
      <c r="F56" s="645"/>
      <c r="G56" s="645"/>
      <c r="H56" s="645"/>
      <c r="I56" s="645"/>
      <c r="J56" s="645"/>
      <c r="K56" s="645"/>
      <c r="L56" s="645"/>
      <c r="M56" s="115"/>
    </row>
    <row r="57" spans="1:13" outlineLevel="1">
      <c r="A57" s="363"/>
      <c r="B57" s="365"/>
      <c r="C57" s="151" t="str">
        <f t="shared" si="0"/>
        <v/>
      </c>
      <c r="D57" s="115"/>
      <c r="E57" s="288"/>
      <c r="F57" s="288"/>
      <c r="G57" s="288"/>
      <c r="H57" s="288"/>
      <c r="I57" s="288"/>
      <c r="J57" s="288"/>
      <c r="K57" s="288"/>
      <c r="L57" s="288"/>
      <c r="M57" s="115"/>
    </row>
    <row r="58" spans="1:13" s="399" customFormat="1" ht="15" outlineLevel="1" thickBot="1">
      <c r="A58" s="363"/>
      <c r="B58" s="365"/>
      <c r="C58" s="151"/>
      <c r="D58" s="115"/>
      <c r="E58" s="615" t="s">
        <v>901</v>
      </c>
      <c r="F58" s="615"/>
      <c r="G58" s="615"/>
      <c r="H58" s="615"/>
      <c r="I58" s="615"/>
      <c r="J58" s="615"/>
      <c r="K58" s="615"/>
      <c r="L58" s="615"/>
      <c r="M58" s="115"/>
    </row>
    <row r="59" spans="1:13" s="399" customFormat="1" outlineLevel="1">
      <c r="A59" s="363"/>
      <c r="B59" s="365"/>
      <c r="C59" s="151"/>
      <c r="D59" s="115"/>
      <c r="E59" s="227" t="s">
        <v>902</v>
      </c>
      <c r="F59" s="228">
        <v>2020</v>
      </c>
      <c r="G59" s="228">
        <v>2025</v>
      </c>
      <c r="H59" s="228">
        <v>2030</v>
      </c>
      <c r="I59" s="228">
        <v>2035</v>
      </c>
      <c r="J59" s="228">
        <v>2040</v>
      </c>
      <c r="K59" s="228">
        <v>2045</v>
      </c>
      <c r="L59" s="229">
        <v>2050</v>
      </c>
      <c r="M59" s="115"/>
    </row>
    <row r="60" spans="1:13" s="399" customFormat="1" outlineLevel="1">
      <c r="A60" s="363"/>
      <c r="B60" s="365"/>
      <c r="C60" s="151"/>
      <c r="D60" s="115"/>
      <c r="E60" s="122" t="s">
        <v>704</v>
      </c>
      <c r="F60" s="177">
        <v>0.8</v>
      </c>
      <c r="G60" s="174"/>
      <c r="H60" s="174">
        <v>0.8</v>
      </c>
      <c r="I60" s="174"/>
      <c r="J60" s="174">
        <v>0.8</v>
      </c>
      <c r="K60" s="174"/>
      <c r="L60" s="205">
        <v>0.8</v>
      </c>
      <c r="M60" s="115"/>
    </row>
    <row r="61" spans="1:13" s="399" customFormat="1" outlineLevel="1">
      <c r="A61" s="363"/>
      <c r="B61" s="365"/>
      <c r="C61" s="151"/>
      <c r="D61" s="115"/>
      <c r="E61" s="122" t="s">
        <v>705</v>
      </c>
      <c r="F61" s="177">
        <v>1</v>
      </c>
      <c r="G61" s="174"/>
      <c r="H61" s="174">
        <v>1</v>
      </c>
      <c r="I61" s="174"/>
      <c r="J61" s="174">
        <v>1</v>
      </c>
      <c r="K61" s="174"/>
      <c r="L61" s="205">
        <v>1</v>
      </c>
      <c r="M61" s="115"/>
    </row>
    <row r="62" spans="1:13" s="399" customFormat="1" outlineLevel="1">
      <c r="A62" s="363"/>
      <c r="B62" s="365"/>
      <c r="C62" s="151"/>
      <c r="D62" s="115"/>
      <c r="E62" s="122" t="s">
        <v>706</v>
      </c>
      <c r="F62" s="177">
        <v>1</v>
      </c>
      <c r="G62" s="174"/>
      <c r="H62" s="174">
        <v>1</v>
      </c>
      <c r="I62" s="174"/>
      <c r="J62" s="174">
        <v>1</v>
      </c>
      <c r="K62" s="174"/>
      <c r="L62" s="205">
        <v>1</v>
      </c>
      <c r="M62" s="115"/>
    </row>
    <row r="63" spans="1:13" s="399" customFormat="1" outlineLevel="1">
      <c r="A63" s="363"/>
      <c r="B63" s="365"/>
      <c r="C63" s="151"/>
      <c r="D63" s="115"/>
      <c r="E63" s="122" t="s">
        <v>707</v>
      </c>
      <c r="F63" s="177">
        <v>0.21</v>
      </c>
      <c r="G63" s="174"/>
      <c r="H63" s="174">
        <v>0.21</v>
      </c>
      <c r="I63" s="174"/>
      <c r="J63" s="174">
        <v>0.21</v>
      </c>
      <c r="K63" s="174"/>
      <c r="L63" s="205">
        <v>0.21</v>
      </c>
      <c r="M63" s="115"/>
    </row>
    <row r="64" spans="1:13" s="399" customFormat="1" outlineLevel="1">
      <c r="A64" s="363"/>
      <c r="B64" s="365"/>
      <c r="C64" s="151"/>
      <c r="D64" s="115"/>
      <c r="E64" s="122" t="s">
        <v>708</v>
      </c>
      <c r="F64" s="177">
        <v>0.32</v>
      </c>
      <c r="G64" s="174"/>
      <c r="H64" s="174">
        <v>0.32</v>
      </c>
      <c r="I64" s="174"/>
      <c r="J64" s="174">
        <v>0.32</v>
      </c>
      <c r="K64" s="174"/>
      <c r="L64" s="205">
        <v>0.32</v>
      </c>
      <c r="M64" s="115"/>
    </row>
    <row r="65" spans="1:13" s="399" customFormat="1" outlineLevel="1">
      <c r="A65" s="363"/>
      <c r="B65" s="365"/>
      <c r="C65" s="151"/>
      <c r="D65" s="115"/>
      <c r="E65" s="122" t="s">
        <v>709</v>
      </c>
      <c r="F65" s="177">
        <v>0.09</v>
      </c>
      <c r="G65" s="174"/>
      <c r="H65" s="174">
        <v>0.09</v>
      </c>
      <c r="I65" s="174"/>
      <c r="J65" s="174">
        <v>0.09</v>
      </c>
      <c r="K65" s="174"/>
      <c r="L65" s="205">
        <v>0.09</v>
      </c>
      <c r="M65" s="115"/>
    </row>
    <row r="66" spans="1:13" s="399" customFormat="1" outlineLevel="1">
      <c r="A66" s="363"/>
      <c r="B66" s="365"/>
      <c r="C66" s="151"/>
      <c r="D66" s="115"/>
      <c r="E66" s="122" t="s">
        <v>1</v>
      </c>
      <c r="F66" s="177">
        <v>0.5</v>
      </c>
      <c r="G66" s="174"/>
      <c r="H66" s="174">
        <v>0.5</v>
      </c>
      <c r="I66" s="174"/>
      <c r="J66" s="174">
        <v>0.5</v>
      </c>
      <c r="K66" s="174"/>
      <c r="L66" s="205">
        <v>0.5</v>
      </c>
      <c r="M66" s="115"/>
    </row>
    <row r="67" spans="1:13" s="399" customFormat="1" outlineLevel="1">
      <c r="A67" s="363"/>
      <c r="B67" s="365"/>
      <c r="C67" s="151"/>
      <c r="D67" s="115"/>
      <c r="E67" s="402"/>
      <c r="F67" s="402"/>
      <c r="G67" s="402"/>
      <c r="H67" s="402"/>
      <c r="I67" s="402"/>
      <c r="J67" s="402"/>
      <c r="K67" s="402"/>
      <c r="L67" s="402"/>
      <c r="M67" s="115"/>
    </row>
    <row r="68" spans="1:13" s="399" customFormat="1" outlineLevel="1">
      <c r="A68" s="363"/>
      <c r="B68" s="365"/>
      <c r="C68" s="151"/>
      <c r="D68" s="115"/>
      <c r="E68" s="402"/>
      <c r="F68" s="402"/>
      <c r="G68" s="402"/>
      <c r="H68" s="402"/>
      <c r="I68" s="402"/>
      <c r="J68" s="402"/>
      <c r="K68" s="402"/>
      <c r="L68" s="402"/>
      <c r="M68" s="115"/>
    </row>
    <row r="69" spans="1:13" s="399" customFormat="1" outlineLevel="1">
      <c r="A69" s="363"/>
      <c r="B69" s="365"/>
      <c r="C69" s="151"/>
      <c r="D69" s="115"/>
      <c r="E69" s="402"/>
      <c r="F69" s="402"/>
      <c r="G69" s="402"/>
      <c r="H69" s="402"/>
      <c r="I69" s="402"/>
      <c r="J69" s="402"/>
      <c r="K69" s="402"/>
      <c r="L69" s="402"/>
      <c r="M69" s="115"/>
    </row>
    <row r="70" spans="1:13" ht="15" outlineLevel="1" thickBot="1">
      <c r="A70" s="363"/>
      <c r="B70" s="365"/>
      <c r="C70" s="151" t="str">
        <f t="shared" si="0"/>
        <v>Constuction neuve pour le parc tertiaire (milliers de m2) post 2020</v>
      </c>
      <c r="D70" s="115"/>
      <c r="E70" s="615" t="s">
        <v>710</v>
      </c>
      <c r="F70" s="615"/>
      <c r="G70" s="615"/>
      <c r="H70" s="615"/>
      <c r="I70" s="615"/>
      <c r="J70" s="615"/>
      <c r="K70" s="615"/>
      <c r="L70" s="615"/>
      <c r="M70" s="115"/>
    </row>
    <row r="71" spans="1:13" outlineLevel="2">
      <c r="A71" s="363"/>
      <c r="B71" s="365"/>
      <c r="C71" s="151" t="str">
        <f t="shared" si="0"/>
        <v>milliers de m2</v>
      </c>
      <c r="D71" s="115"/>
      <c r="E71" s="227" t="s">
        <v>703</v>
      </c>
      <c r="F71" s="228">
        <v>2020</v>
      </c>
      <c r="G71" s="228"/>
      <c r="H71" s="228" t="s">
        <v>688</v>
      </c>
      <c r="I71" s="228"/>
      <c r="J71" s="228" t="s">
        <v>690</v>
      </c>
      <c r="K71" s="228"/>
      <c r="L71" s="229" t="s">
        <v>692</v>
      </c>
      <c r="M71" s="115"/>
    </row>
    <row r="72" spans="1:13" outlineLevel="2">
      <c r="A72" s="363"/>
      <c r="B72" s="365"/>
      <c r="C72" s="151" t="str">
        <f t="shared" si="0"/>
        <v>Total sur la période (10 ans)</v>
      </c>
      <c r="D72" s="115"/>
      <c r="E72" s="129" t="s">
        <v>711</v>
      </c>
      <c r="F72" s="310"/>
      <c r="G72" s="311"/>
      <c r="H72" s="311">
        <v>58278</v>
      </c>
      <c r="I72" s="311"/>
      <c r="J72" s="311">
        <v>44696</v>
      </c>
      <c r="K72" s="311"/>
      <c r="L72" s="315">
        <v>36825</v>
      </c>
      <c r="M72" s="115"/>
    </row>
    <row r="73" spans="1:13" outlineLevel="2">
      <c r="A73" s="363"/>
      <c r="B73" s="365"/>
      <c r="C73" s="151" t="str">
        <f t="shared" si="0"/>
        <v>Bureaux Administration</v>
      </c>
      <c r="D73" s="115"/>
      <c r="E73" s="122" t="s">
        <v>704</v>
      </c>
      <c r="F73" s="312"/>
      <c r="G73" s="313"/>
      <c r="H73" s="313">
        <v>6206</v>
      </c>
      <c r="I73" s="313"/>
      <c r="J73" s="313">
        <v>6412</v>
      </c>
      <c r="K73" s="313"/>
      <c r="L73" s="316">
        <v>5962</v>
      </c>
      <c r="M73" s="115"/>
    </row>
    <row r="74" spans="1:13" outlineLevel="2">
      <c r="A74" s="363"/>
      <c r="B74" s="365"/>
      <c r="C74" s="151" t="str">
        <f t="shared" si="0"/>
        <v>Café Hôtel Restaurant</v>
      </c>
      <c r="D74" s="115"/>
      <c r="E74" s="122" t="s">
        <v>705</v>
      </c>
      <c r="F74" s="312"/>
      <c r="G74" s="313"/>
      <c r="H74" s="313">
        <v>4554</v>
      </c>
      <c r="I74" s="313"/>
      <c r="J74" s="313">
        <v>3048</v>
      </c>
      <c r="K74" s="313"/>
      <c r="L74" s="316">
        <v>2042</v>
      </c>
      <c r="M74" s="115"/>
    </row>
    <row r="75" spans="1:13" outlineLevel="2">
      <c r="A75" s="363"/>
      <c r="B75" s="365"/>
      <c r="C75" s="151" t="str">
        <f t="shared" si="0"/>
        <v>Commerce</v>
      </c>
      <c r="D75" s="115"/>
      <c r="E75" s="122" t="s">
        <v>706</v>
      </c>
      <c r="F75" s="312"/>
      <c r="G75" s="313"/>
      <c r="H75" s="313">
        <v>13164</v>
      </c>
      <c r="I75" s="313"/>
      <c r="J75" s="313">
        <v>8970</v>
      </c>
      <c r="K75" s="313"/>
      <c r="L75" s="316">
        <v>8772</v>
      </c>
      <c r="M75" s="115"/>
    </row>
    <row r="76" spans="1:13" outlineLevel="2">
      <c r="A76" s="363"/>
      <c r="B76" s="365"/>
      <c r="C76" s="151" t="str">
        <f t="shared" si="0"/>
        <v>Enseignement Recherche</v>
      </c>
      <c r="D76" s="115"/>
      <c r="E76" s="122" t="s">
        <v>707</v>
      </c>
      <c r="F76" s="312"/>
      <c r="G76" s="313"/>
      <c r="H76" s="313">
        <v>5841</v>
      </c>
      <c r="I76" s="313"/>
      <c r="J76" s="313">
        <v>3412</v>
      </c>
      <c r="K76" s="313"/>
      <c r="L76" s="316">
        <v>3381</v>
      </c>
      <c r="M76" s="115"/>
    </row>
    <row r="77" spans="1:13" outlineLevel="2">
      <c r="A77" s="363"/>
      <c r="B77" s="365"/>
      <c r="C77" s="151" t="str">
        <f t="shared" si="0"/>
        <v>Santé Action Sociale</v>
      </c>
      <c r="D77" s="115"/>
      <c r="E77" s="122" t="s">
        <v>708</v>
      </c>
      <c r="F77" s="312"/>
      <c r="G77" s="313"/>
      <c r="H77" s="313">
        <v>22460</v>
      </c>
      <c r="I77" s="313"/>
      <c r="J77" s="313">
        <v>19028</v>
      </c>
      <c r="K77" s="313"/>
      <c r="L77" s="316">
        <v>14324</v>
      </c>
      <c r="M77" s="115"/>
    </row>
    <row r="78" spans="1:13" outlineLevel="2">
      <c r="A78" s="363"/>
      <c r="B78" s="365"/>
      <c r="C78" s="151" t="str">
        <f t="shared" si="0"/>
        <v>Sport Loisir Culture</v>
      </c>
      <c r="D78" s="115"/>
      <c r="E78" s="122" t="s">
        <v>709</v>
      </c>
      <c r="F78" s="312"/>
      <c r="G78" s="313"/>
      <c r="H78" s="313">
        <v>3337</v>
      </c>
      <c r="I78" s="313"/>
      <c r="J78" s="313">
        <v>2052</v>
      </c>
      <c r="K78" s="313"/>
      <c r="L78" s="316">
        <v>1199</v>
      </c>
      <c r="M78" s="115"/>
    </row>
    <row r="79" spans="1:13" outlineLevel="2">
      <c r="A79" s="363"/>
      <c r="B79" s="365"/>
      <c r="C79" s="151" t="str">
        <f t="shared" si="0"/>
        <v>Transport</v>
      </c>
      <c r="D79" s="115"/>
      <c r="E79" s="122" t="s">
        <v>1</v>
      </c>
      <c r="F79" s="312"/>
      <c r="G79" s="313"/>
      <c r="H79" s="313">
        <v>2715</v>
      </c>
      <c r="I79" s="313"/>
      <c r="J79" s="313">
        <v>1774</v>
      </c>
      <c r="K79" s="313"/>
      <c r="L79" s="316">
        <v>1146</v>
      </c>
      <c r="M79" s="115"/>
    </row>
    <row r="80" spans="1:13" outlineLevel="2">
      <c r="A80" s="363"/>
      <c r="B80" s="365"/>
      <c r="C80" s="151" t="str">
        <f t="shared" si="0"/>
        <v xml:space="preserve"> Périmètre hexagone</v>
      </c>
      <c r="D80" s="115"/>
      <c r="E80" s="645" t="s">
        <v>967</v>
      </c>
      <c r="F80" s="645"/>
      <c r="G80" s="645"/>
      <c r="H80" s="645"/>
      <c r="I80" s="645"/>
      <c r="J80" s="645"/>
      <c r="K80" s="645"/>
      <c r="L80" s="645"/>
      <c r="M80" s="115"/>
    </row>
    <row r="81" spans="1:13" outlineLevel="1">
      <c r="A81" s="363"/>
      <c r="B81" s="365"/>
      <c r="C81" s="151"/>
      <c r="D81" s="115"/>
      <c r="E81" s="288"/>
      <c r="F81" s="288"/>
      <c r="G81" s="288"/>
      <c r="H81" s="288"/>
      <c r="I81" s="288"/>
      <c r="J81" s="288"/>
      <c r="K81" s="288"/>
      <c r="L81" s="288"/>
      <c r="M81" s="115"/>
    </row>
    <row r="82" spans="1:13" ht="28.8" thickBot="1">
      <c r="A82" s="363"/>
      <c r="B82" s="365"/>
      <c r="C82" s="151" t="str">
        <f t="shared" ref="C82:C140" si="2">IF(ISBLANK(E82),IF(ISBLANK(F82),"",F82),E82)</f>
        <v>Chauffage</v>
      </c>
      <c r="D82" s="369"/>
      <c r="E82" s="370"/>
      <c r="F82" s="617" t="s">
        <v>712</v>
      </c>
      <c r="G82" s="617"/>
      <c r="H82" s="617"/>
      <c r="I82" s="617"/>
      <c r="J82" s="617"/>
      <c r="K82" s="617"/>
      <c r="L82" s="617"/>
      <c r="M82" s="617"/>
    </row>
    <row r="83" spans="1:13" ht="15" thickTop="1">
      <c r="A83" s="363"/>
      <c r="B83" s="365"/>
      <c r="C83" s="151" t="str">
        <f t="shared" si="2"/>
        <v/>
      </c>
      <c r="D83" s="287"/>
      <c r="E83" s="287"/>
      <c r="F83" s="287"/>
    </row>
    <row r="84" spans="1:13" outlineLevel="1">
      <c r="A84" s="363"/>
      <c r="B84" s="365"/>
      <c r="C84" s="151" t="str">
        <f t="shared" si="2"/>
        <v/>
      </c>
      <c r="D84" s="115"/>
      <c r="E84" s="115"/>
      <c r="F84" s="115"/>
      <c r="G84" s="115"/>
      <c r="H84" s="115"/>
      <c r="I84" s="115"/>
      <c r="J84" s="115"/>
      <c r="K84" s="115"/>
      <c r="L84" s="115"/>
      <c r="M84" s="115"/>
    </row>
    <row r="85" spans="1:13" ht="19.2" outlineLevel="1">
      <c r="A85" s="363"/>
      <c r="B85" s="365"/>
      <c r="C85" s="151" t="str">
        <f t="shared" si="2"/>
        <v xml:space="preserve">Commentaire
IGCE = 
Diffus = </v>
      </c>
      <c r="D85" s="115"/>
      <c r="E85" s="611" t="s">
        <v>140</v>
      </c>
      <c r="F85" s="612"/>
      <c r="G85" s="612"/>
      <c r="H85" s="612"/>
      <c r="I85" s="612"/>
      <c r="J85" s="612"/>
      <c r="K85" s="612"/>
      <c r="L85" s="612"/>
      <c r="M85" s="115"/>
    </row>
    <row r="86" spans="1:13" ht="167.4" customHeight="1" outlineLevel="1">
      <c r="A86" s="363"/>
      <c r="B86" s="365"/>
      <c r="C86" s="151" t="str">
        <f t="shared" si="2"/>
        <v xml:space="preserve">Les consommations énergétiques pour le chauffage sont estimées avec le modèle Res IRF, développé par le CIRED . Celui-ci vise à décrire l’effet des politiques d’efficacité énergétique sur la dynamique de rénovation énergétique. Le modèle intègre un certain nombre de barrières à l’efficacité énergétique, comme l’effet rebond, les contraintes de crédit, le dilemme propriétaire-locataire et les coûts cachés de la rénovation. Il se concentre actuellement sur les consommations d’énergie (électricité, gaz naturel, fioul domestique, bois-énergie) pour le chauffage.  
Le modèle tertiaire Vivaldi de l’ADEME a été utilisé pour calculer l’évolution des consommations de chauffage des bâtiments tertiaires. Ce modèle donne une représentation technique du parc de bâtiments pour chaque branche et modélise l’évolution des intensités de consommation (en kWh/m²/an). Ces intensités évoluent en fonction d’hypothèses sur le mix énergétique et sur le respect du décret tertiaire. Elles permettent ensuite de calculer une consommation finale du parc tertiaire. Cette méthodologie de modélisation basée sur les intensités de consommation (en kWh/m²/an), elles-mêmes conditionnées au respect du décret tertiaire, permet de prendre en compte implicitement les effets du réchauffement climatique, de la sobriété et d’un potentiel effet rebond sur la consommation finale du secteur. </v>
      </c>
      <c r="D86" s="115"/>
      <c r="E86" s="613" t="s">
        <v>713</v>
      </c>
      <c r="F86" s="614"/>
      <c r="G86" s="614"/>
      <c r="H86" s="614"/>
      <c r="I86" s="614"/>
      <c r="J86" s="614"/>
      <c r="K86" s="614"/>
      <c r="L86" s="614"/>
      <c r="M86" s="115"/>
    </row>
    <row r="87" spans="1:13" outlineLevel="1">
      <c r="A87" s="363"/>
      <c r="B87" s="365"/>
      <c r="C87" s="151" t="str">
        <f t="shared" si="2"/>
        <v/>
      </c>
      <c r="D87" s="115"/>
      <c r="E87" s="288"/>
      <c r="F87" s="288"/>
      <c r="G87" s="288"/>
      <c r="H87" s="288"/>
      <c r="I87" s="288"/>
      <c r="J87" s="288"/>
      <c r="K87" s="288"/>
      <c r="L87" s="288"/>
      <c r="M87" s="115"/>
    </row>
    <row r="88" spans="1:13" outlineLevel="1">
      <c r="A88" s="363"/>
      <c r="B88" s="365"/>
      <c r="C88" s="151" t="str">
        <f t="shared" si="2"/>
        <v/>
      </c>
      <c r="D88" s="115"/>
      <c r="E88" s="288"/>
      <c r="F88" s="288"/>
      <c r="G88" s="288"/>
      <c r="H88" s="288"/>
      <c r="I88" s="288"/>
      <c r="J88" s="288"/>
      <c r="K88" s="288"/>
      <c r="L88" s="288"/>
      <c r="M88" s="115"/>
    </row>
    <row r="89" spans="1:13" ht="15" outlineLevel="1" thickBot="1">
      <c r="A89" s="363"/>
      <c r="B89" s="365"/>
      <c r="C89" s="151" t="str">
        <f t="shared" si="2"/>
        <v>Nombre de degrés-jour (index 2020)</v>
      </c>
      <c r="D89" s="115"/>
      <c r="E89" s="615" t="s">
        <v>714</v>
      </c>
      <c r="F89" s="615"/>
      <c r="G89" s="615"/>
      <c r="H89" s="615"/>
      <c r="I89" s="615"/>
      <c r="J89" s="615"/>
      <c r="K89" s="615"/>
      <c r="L89" s="615"/>
      <c r="M89" s="115"/>
    </row>
    <row r="90" spans="1:13" outlineLevel="2">
      <c r="A90" s="363"/>
      <c r="B90" s="365"/>
      <c r="C90" s="151" t="str">
        <f t="shared" si="2"/>
        <v>sans unité</v>
      </c>
      <c r="D90" s="115"/>
      <c r="E90" s="227" t="s">
        <v>715</v>
      </c>
      <c r="F90" s="228">
        <v>2020</v>
      </c>
      <c r="G90" s="228">
        <v>2025</v>
      </c>
      <c r="H90" s="228">
        <v>2030</v>
      </c>
      <c r="I90" s="228">
        <v>2035</v>
      </c>
      <c r="J90" s="228">
        <v>2040</v>
      </c>
      <c r="K90" s="228">
        <v>2045</v>
      </c>
      <c r="L90" s="229">
        <v>2050</v>
      </c>
      <c r="M90" s="115"/>
    </row>
    <row r="91" spans="1:13" ht="15" outlineLevel="2" thickBot="1">
      <c r="A91" s="363"/>
      <c r="B91" s="365"/>
      <c r="C91" s="151" t="str">
        <f t="shared" si="2"/>
        <v>Evolution de la consommation de chauffage</v>
      </c>
      <c r="D91" s="115"/>
      <c r="E91" s="179" t="s">
        <v>716</v>
      </c>
      <c r="F91" s="317">
        <v>1</v>
      </c>
      <c r="G91" s="318">
        <v>0.95</v>
      </c>
      <c r="H91" s="318">
        <v>0.91</v>
      </c>
      <c r="I91" s="318"/>
      <c r="J91" s="318">
        <v>0.87</v>
      </c>
      <c r="K91" s="318"/>
      <c r="L91" s="318">
        <v>0.86</v>
      </c>
      <c r="M91" s="115"/>
    </row>
    <row r="92" spans="1:13" ht="14.4" customHeight="1" outlineLevel="2">
      <c r="A92" s="363"/>
      <c r="B92" s="365"/>
      <c r="C92" s="151" t="str">
        <f t="shared" si="2"/>
        <v>Les hypothèses relatives à l’impact du changement climatique (scénario correspondant au RCP2.6, soit une augmentation de température de l’ordre de 2°C à la fin du siècle) sur le besoin de chauffage et de climatisation ont été modélisées en modifiant annuellement les besoins selon ces taux annuels moyens  (calcul DGEC à partir de scénarios climatiques MétéoFrance)</v>
      </c>
      <c r="D92" s="115"/>
      <c r="E92" s="637" t="s">
        <v>852</v>
      </c>
      <c r="F92" s="637"/>
      <c r="G92" s="637"/>
      <c r="H92" s="637"/>
      <c r="I92" s="637"/>
      <c r="J92" s="637"/>
      <c r="K92" s="637"/>
      <c r="L92" s="637"/>
      <c r="M92" s="115"/>
    </row>
    <row r="93" spans="1:13" ht="36.6" customHeight="1" outlineLevel="1">
      <c r="A93" s="363"/>
      <c r="B93" s="365"/>
      <c r="C93" s="151" t="str">
        <f t="shared" si="2"/>
        <v/>
      </c>
      <c r="D93" s="115"/>
      <c r="E93" s="638"/>
      <c r="F93" s="638"/>
      <c r="G93" s="638"/>
      <c r="H93" s="638"/>
      <c r="I93" s="638"/>
      <c r="J93" s="638"/>
      <c r="K93" s="638"/>
      <c r="L93" s="638"/>
      <c r="M93" s="115"/>
    </row>
    <row r="94" spans="1:13" ht="15" outlineLevel="1" thickBot="1">
      <c r="A94" s="363"/>
      <c r="B94" s="365"/>
      <c r="C94" s="151" t="str">
        <f t="shared" si="2"/>
        <v>Nombre de rénovations énergétiques performantes (milliers par an) pour le parc résidentiel</v>
      </c>
      <c r="D94" s="115"/>
      <c r="E94" s="615" t="s">
        <v>717</v>
      </c>
      <c r="F94" s="615"/>
      <c r="G94" s="615"/>
      <c r="H94" s="615"/>
      <c r="I94" s="615"/>
      <c r="J94" s="615"/>
      <c r="K94" s="615"/>
      <c r="L94" s="615"/>
      <c r="M94" s="115"/>
    </row>
    <row r="95" spans="1:13" outlineLevel="2">
      <c r="A95" s="363"/>
      <c r="B95" s="365"/>
      <c r="C95" s="151" t="str">
        <f t="shared" si="2"/>
        <v>Moyenne annuelle</v>
      </c>
      <c r="D95" s="115"/>
      <c r="E95" s="227" t="s">
        <v>718</v>
      </c>
      <c r="F95" s="228"/>
      <c r="G95" s="228" t="s">
        <v>719</v>
      </c>
      <c r="H95" s="228" t="s">
        <v>720</v>
      </c>
      <c r="I95" s="228" t="s">
        <v>721</v>
      </c>
      <c r="J95" s="228" t="s">
        <v>722</v>
      </c>
      <c r="K95" s="228" t="s">
        <v>723</v>
      </c>
      <c r="L95" s="229" t="s">
        <v>724</v>
      </c>
      <c r="M95" s="115"/>
    </row>
    <row r="96" spans="1:13" ht="15" outlineLevel="2" thickBot="1">
      <c r="A96" s="363"/>
      <c r="B96" s="365"/>
      <c r="C96" s="151" t="str">
        <f t="shared" si="2"/>
        <v>Nombre de rénovations performantes (en milliers/an)</v>
      </c>
      <c r="D96" s="115"/>
      <c r="E96" s="179" t="s">
        <v>725</v>
      </c>
      <c r="F96" s="180"/>
      <c r="G96" s="249">
        <v>213</v>
      </c>
      <c r="H96" s="249">
        <v>280</v>
      </c>
      <c r="I96" s="249">
        <v>164</v>
      </c>
      <c r="J96" s="249">
        <v>117</v>
      </c>
      <c r="K96" s="249">
        <v>95</v>
      </c>
      <c r="L96" s="249">
        <v>107</v>
      </c>
      <c r="M96" s="115"/>
    </row>
    <row r="97" spans="1:13" outlineLevel="2">
      <c r="A97" s="363"/>
      <c r="B97" s="365"/>
      <c r="C97" s="151" t="str">
        <f t="shared" si="2"/>
        <v>Rénovations permettant d'atteindre un DPE A ou B voire C si le logement était une passoire énergétique. Périmètre hexagone</v>
      </c>
      <c r="D97" s="115"/>
      <c r="E97" s="616" t="s">
        <v>968</v>
      </c>
      <c r="F97" s="616"/>
      <c r="G97" s="616"/>
      <c r="H97" s="616"/>
      <c r="I97" s="616"/>
      <c r="J97" s="616"/>
      <c r="K97" s="616"/>
      <c r="L97" s="616"/>
      <c r="M97" s="115"/>
    </row>
    <row r="98" spans="1:13" outlineLevel="1">
      <c r="A98" s="363"/>
      <c r="B98" s="365"/>
      <c r="C98" s="151" t="str">
        <f t="shared" si="2"/>
        <v/>
      </c>
      <c r="D98" s="115"/>
      <c r="E98" s="288"/>
      <c r="F98" s="288"/>
      <c r="G98" s="288"/>
      <c r="H98" s="288"/>
      <c r="I98" s="288"/>
      <c r="J98" s="288"/>
      <c r="K98" s="288"/>
      <c r="L98" s="288"/>
      <c r="M98" s="115"/>
    </row>
    <row r="99" spans="1:13" s="399" customFormat="1" ht="15" outlineLevel="1" thickBot="1">
      <c r="A99" s="363"/>
      <c r="B99" s="365"/>
      <c r="C99" s="151"/>
      <c r="D99" s="115"/>
      <c r="E99" s="615" t="s">
        <v>1084</v>
      </c>
      <c r="F99" s="615"/>
      <c r="G99" s="615"/>
      <c r="H99" s="615"/>
      <c r="I99" s="615"/>
      <c r="J99" s="615"/>
      <c r="K99" s="615"/>
      <c r="L99" s="615"/>
      <c r="M99" s="115"/>
    </row>
    <row r="100" spans="1:13" s="399" customFormat="1" outlineLevel="1">
      <c r="A100" s="363"/>
      <c r="B100" s="365"/>
      <c r="C100" s="151"/>
      <c r="D100" s="115"/>
      <c r="E100" s="227" t="s">
        <v>121</v>
      </c>
      <c r="F100" s="228">
        <v>2020</v>
      </c>
      <c r="G100" s="228">
        <v>2025</v>
      </c>
      <c r="H100" s="228">
        <v>2030</v>
      </c>
      <c r="I100" s="228">
        <v>2035</v>
      </c>
      <c r="J100" s="228">
        <v>2040</v>
      </c>
      <c r="K100" s="228">
        <v>2045</v>
      </c>
      <c r="L100" s="229">
        <v>2050</v>
      </c>
      <c r="M100" s="115"/>
    </row>
    <row r="101" spans="1:13" s="399" customFormat="1" outlineLevel="1">
      <c r="A101" s="363"/>
      <c r="B101" s="365"/>
      <c r="C101" s="151"/>
      <c r="D101" s="115"/>
      <c r="E101" s="129" t="s">
        <v>144</v>
      </c>
      <c r="F101" s="601">
        <f t="shared" ref="F101:G101" si="3">F102+F103+F104+F107+F108</f>
        <v>0.99999999999999989</v>
      </c>
      <c r="G101" s="596">
        <f t="shared" si="3"/>
        <v>0.99999999999999989</v>
      </c>
      <c r="H101" s="596">
        <f>H102+H103+H104+H107+H108</f>
        <v>1</v>
      </c>
      <c r="I101" s="597"/>
      <c r="J101" s="597"/>
      <c r="K101" s="597"/>
      <c r="L101" s="597"/>
      <c r="M101" s="115"/>
    </row>
    <row r="102" spans="1:13" s="399" customFormat="1" outlineLevel="1">
      <c r="A102" s="363"/>
      <c r="B102" s="365"/>
      <c r="C102" s="151"/>
      <c r="D102" s="115"/>
      <c r="E102" s="122" t="s">
        <v>258</v>
      </c>
      <c r="F102" s="598">
        <v>0.40549755703188156</v>
      </c>
      <c r="G102" s="599">
        <v>0.39486219243783055</v>
      </c>
      <c r="H102" s="599">
        <v>0.3770405476566614</v>
      </c>
      <c r="I102" s="600"/>
      <c r="J102" s="600"/>
      <c r="K102" s="600"/>
      <c r="L102" s="600"/>
      <c r="M102" s="115"/>
    </row>
    <row r="103" spans="1:13" s="399" customFormat="1" outlineLevel="1">
      <c r="A103" s="363"/>
      <c r="B103" s="365"/>
      <c r="C103" s="151"/>
      <c r="D103" s="115"/>
      <c r="E103" s="122" t="s">
        <v>280</v>
      </c>
      <c r="F103" s="598">
        <v>0.11561039052339274</v>
      </c>
      <c r="G103" s="599">
        <v>7.023422358004007E-2</v>
      </c>
      <c r="H103" s="599">
        <v>3.0914103398073288E-2</v>
      </c>
      <c r="I103" s="600"/>
      <c r="J103" s="600"/>
      <c r="K103" s="600"/>
      <c r="L103" s="600"/>
      <c r="M103" s="115"/>
    </row>
    <row r="104" spans="1:13" s="399" customFormat="1" outlineLevel="1">
      <c r="A104" s="363"/>
      <c r="B104" s="365"/>
      <c r="C104" s="151"/>
      <c r="D104" s="115"/>
      <c r="E104" s="122" t="s">
        <v>260</v>
      </c>
      <c r="F104" s="598">
        <v>0.38511019719498041</v>
      </c>
      <c r="G104" s="599">
        <v>0.39942840248349265</v>
      </c>
      <c r="H104" s="599">
        <v>0.44633398383049905</v>
      </c>
      <c r="I104" s="600"/>
      <c r="J104" s="600"/>
      <c r="K104" s="600"/>
      <c r="L104" s="600"/>
      <c r="M104" s="115"/>
    </row>
    <row r="105" spans="1:13" s="399" customFormat="1" outlineLevel="1">
      <c r="A105" s="363"/>
      <c r="B105" s="365"/>
      <c r="C105" s="151"/>
      <c r="D105" s="115"/>
      <c r="E105" s="344" t="s">
        <v>728</v>
      </c>
      <c r="F105" s="598">
        <v>0.30117051565960135</v>
      </c>
      <c r="G105" s="599">
        <v>0.25932131007522752</v>
      </c>
      <c r="H105" s="599">
        <v>0.23910417247467708</v>
      </c>
      <c r="I105" s="600"/>
      <c r="J105" s="600"/>
      <c r="K105" s="600"/>
      <c r="L105" s="600"/>
      <c r="M105" s="115"/>
    </row>
    <row r="106" spans="1:13" s="399" customFormat="1" outlineLevel="1">
      <c r="A106" s="363"/>
      <c r="B106" s="365"/>
      <c r="C106" s="151"/>
      <c r="D106" s="115"/>
      <c r="E106" s="344" t="s">
        <v>729</v>
      </c>
      <c r="F106" s="598">
        <v>8.393968153537909E-2</v>
      </c>
      <c r="G106" s="599">
        <v>0.14010709240826516</v>
      </c>
      <c r="H106" s="599">
        <v>0.20722981135582194</v>
      </c>
      <c r="I106" s="600"/>
      <c r="J106" s="600"/>
      <c r="K106" s="600"/>
      <c r="L106" s="600"/>
      <c r="M106" s="115"/>
    </row>
    <row r="107" spans="1:13" s="399" customFormat="1" outlineLevel="1">
      <c r="A107" s="363"/>
      <c r="B107" s="365"/>
      <c r="C107" s="151"/>
      <c r="D107" s="115"/>
      <c r="E107" s="122" t="s">
        <v>730</v>
      </c>
      <c r="F107" s="598">
        <v>5.0335688424900694E-2</v>
      </c>
      <c r="G107" s="599">
        <v>8.3242994645379584E-2</v>
      </c>
      <c r="H107" s="599">
        <v>9.5065514357401723E-2</v>
      </c>
      <c r="I107" s="600"/>
      <c r="J107" s="600"/>
      <c r="K107" s="600"/>
      <c r="L107" s="600"/>
      <c r="M107" s="115"/>
    </row>
    <row r="108" spans="1:13" s="399" customFormat="1" outlineLevel="1">
      <c r="A108" s="363"/>
      <c r="B108" s="365"/>
      <c r="C108" s="151"/>
      <c r="D108" s="115"/>
      <c r="E108" s="122" t="s">
        <v>731</v>
      </c>
      <c r="F108" s="598">
        <v>4.3446166824844458E-2</v>
      </c>
      <c r="G108" s="599">
        <v>5.2232186853257125E-2</v>
      </c>
      <c r="H108" s="599">
        <v>5.0645850757364552E-2</v>
      </c>
      <c r="I108" s="600"/>
      <c r="J108" s="600"/>
      <c r="K108" s="600"/>
      <c r="L108" s="600"/>
      <c r="M108" s="115"/>
    </row>
    <row r="109" spans="1:13" s="399" customFormat="1" outlineLevel="1">
      <c r="A109" s="363"/>
      <c r="B109" s="365"/>
      <c r="C109" s="151"/>
      <c r="D109" s="115"/>
      <c r="E109" s="595"/>
      <c r="F109" s="595"/>
      <c r="G109" s="595"/>
      <c r="H109" s="595"/>
      <c r="I109" s="595"/>
      <c r="J109" s="595"/>
      <c r="K109" s="595"/>
      <c r="L109" s="595"/>
      <c r="M109" s="115"/>
    </row>
    <row r="110" spans="1:13" s="399" customFormat="1" outlineLevel="1">
      <c r="A110" s="363"/>
      <c r="B110" s="365"/>
      <c r="C110" s="151"/>
      <c r="D110" s="115"/>
      <c r="E110" s="595"/>
      <c r="F110" s="595"/>
      <c r="G110" s="595"/>
      <c r="H110" s="595"/>
      <c r="I110" s="595"/>
      <c r="J110" s="595"/>
      <c r="K110" s="595"/>
      <c r="L110" s="595"/>
      <c r="M110" s="115"/>
    </row>
    <row r="111" spans="1:13" s="399" customFormat="1" ht="15" outlineLevel="1" thickBot="1">
      <c r="A111" s="363"/>
      <c r="B111" s="365"/>
      <c r="C111" s="151"/>
      <c r="D111" s="115"/>
      <c r="E111" s="615" t="s">
        <v>1085</v>
      </c>
      <c r="F111" s="615"/>
      <c r="G111" s="615"/>
      <c r="H111" s="615"/>
      <c r="I111" s="615"/>
      <c r="J111" s="615"/>
      <c r="K111" s="615"/>
      <c r="L111" s="615"/>
      <c r="M111" s="115"/>
    </row>
    <row r="112" spans="1:13" s="399" customFormat="1" outlineLevel="1">
      <c r="A112" s="363"/>
      <c r="B112" s="365"/>
      <c r="C112" s="151"/>
      <c r="D112" s="115"/>
      <c r="E112" s="227" t="s">
        <v>121</v>
      </c>
      <c r="F112" s="228">
        <v>2020</v>
      </c>
      <c r="G112" s="228">
        <v>2025</v>
      </c>
      <c r="H112" s="228">
        <v>2030</v>
      </c>
      <c r="I112" s="228">
        <v>2035</v>
      </c>
      <c r="J112" s="228">
        <v>2040</v>
      </c>
      <c r="K112" s="228">
        <v>2045</v>
      </c>
      <c r="L112" s="229">
        <v>2050</v>
      </c>
      <c r="M112" s="115"/>
    </row>
    <row r="113" spans="1:13" s="399" customFormat="1" outlineLevel="1">
      <c r="A113" s="363"/>
      <c r="B113" s="365"/>
      <c r="C113" s="151"/>
      <c r="D113" s="115"/>
      <c r="E113" s="129" t="s">
        <v>144</v>
      </c>
      <c r="F113" s="596">
        <f t="shared" ref="F113" si="4">SUM(F114:F120)-F117-F118</f>
        <v>1</v>
      </c>
      <c r="G113" s="596"/>
      <c r="H113" s="596">
        <f>SUM(H114:H120)-H117-H118</f>
        <v>1</v>
      </c>
      <c r="I113" s="597"/>
      <c r="J113" s="597"/>
      <c r="K113" s="597"/>
      <c r="L113" s="597"/>
      <c r="M113" s="115"/>
    </row>
    <row r="114" spans="1:13" s="399" customFormat="1" outlineLevel="1">
      <c r="A114" s="363"/>
      <c r="B114" s="365"/>
      <c r="C114" s="151"/>
      <c r="D114" s="115"/>
      <c r="E114" s="122" t="s">
        <v>258</v>
      </c>
      <c r="F114" s="598">
        <v>0.46184218057147775</v>
      </c>
      <c r="G114" s="600"/>
      <c r="H114" s="599">
        <v>0.42472861399359713</v>
      </c>
      <c r="I114" s="600"/>
      <c r="J114" s="600"/>
      <c r="K114" s="600"/>
      <c r="L114" s="600"/>
      <c r="M114" s="115"/>
    </row>
    <row r="115" spans="1:13" s="399" customFormat="1" outlineLevel="1">
      <c r="A115" s="363"/>
      <c r="B115" s="365"/>
      <c r="C115" s="151"/>
      <c r="D115" s="115"/>
      <c r="E115" s="122" t="s">
        <v>280</v>
      </c>
      <c r="F115" s="598">
        <v>0.15863675706496494</v>
      </c>
      <c r="G115" s="600"/>
      <c r="H115" s="599">
        <v>0.13388735081916828</v>
      </c>
      <c r="I115" s="600"/>
      <c r="J115" s="600"/>
      <c r="K115" s="600"/>
      <c r="L115" s="600"/>
      <c r="M115" s="115"/>
    </row>
    <row r="116" spans="1:13" s="399" customFormat="1" outlineLevel="1">
      <c r="A116" s="363"/>
      <c r="B116" s="365"/>
      <c r="C116" s="151"/>
      <c r="D116" s="115"/>
      <c r="E116" s="122" t="s">
        <v>260</v>
      </c>
      <c r="F116" s="598">
        <v>0.29379405799581115</v>
      </c>
      <c r="G116" s="600"/>
      <c r="H116" s="599">
        <f>H117+H118</f>
        <v>0.34537485700740989</v>
      </c>
      <c r="I116" s="600"/>
      <c r="J116" s="600"/>
      <c r="K116" s="600"/>
      <c r="L116" s="600"/>
      <c r="M116" s="115"/>
    </row>
    <row r="117" spans="1:13" s="399" customFormat="1" outlineLevel="1">
      <c r="A117" s="363"/>
      <c r="B117" s="365"/>
      <c r="C117" s="151"/>
      <c r="D117" s="115"/>
      <c r="E117" s="344" t="s">
        <v>728</v>
      </c>
      <c r="F117" s="598">
        <v>0.23418626154607147</v>
      </c>
      <c r="G117" s="600"/>
      <c r="H117" s="599">
        <v>0.19733588581552905</v>
      </c>
      <c r="I117" s="600"/>
      <c r="J117" s="600"/>
      <c r="K117" s="600"/>
      <c r="L117" s="600"/>
      <c r="M117" s="115"/>
    </row>
    <row r="118" spans="1:13" s="399" customFormat="1" outlineLevel="1">
      <c r="A118" s="363"/>
      <c r="B118" s="365"/>
      <c r="C118" s="151"/>
      <c r="D118" s="115"/>
      <c r="E118" s="344" t="s">
        <v>729</v>
      </c>
      <c r="F118" s="598">
        <v>5.9607796449739708E-2</v>
      </c>
      <c r="G118" s="600"/>
      <c r="H118" s="599">
        <v>0.14803897119188084</v>
      </c>
      <c r="I118" s="600"/>
      <c r="J118" s="600"/>
      <c r="K118" s="600"/>
      <c r="L118" s="600"/>
      <c r="M118" s="115"/>
    </row>
    <row r="119" spans="1:13" s="399" customFormat="1" outlineLevel="1">
      <c r="A119" s="363"/>
      <c r="B119" s="365"/>
      <c r="C119" s="151"/>
      <c r="D119" s="115"/>
      <c r="E119" s="122" t="s">
        <v>730</v>
      </c>
      <c r="F119" s="598">
        <v>1.3129164928176311E-2</v>
      </c>
      <c r="G119" s="600"/>
      <c r="H119" s="599">
        <v>1.4634396578795943E-2</v>
      </c>
      <c r="I119" s="600"/>
      <c r="J119" s="600"/>
      <c r="K119" s="600"/>
      <c r="L119" s="600"/>
      <c r="M119" s="115"/>
    </row>
    <row r="120" spans="1:13" s="399" customFormat="1" outlineLevel="1">
      <c r="A120" s="363"/>
      <c r="B120" s="365"/>
      <c r="C120" s="151"/>
      <c r="D120" s="115"/>
      <c r="E120" s="122" t="s">
        <v>731</v>
      </c>
      <c r="F120" s="598">
        <v>7.2597839439569961E-2</v>
      </c>
      <c r="G120" s="600"/>
      <c r="H120" s="599">
        <v>8.1374781601028887E-2</v>
      </c>
      <c r="I120" s="600"/>
      <c r="J120" s="600"/>
      <c r="K120" s="600"/>
      <c r="L120" s="600"/>
      <c r="M120" s="115"/>
    </row>
    <row r="121" spans="1:13" s="399" customFormat="1" outlineLevel="1">
      <c r="A121" s="363"/>
      <c r="B121" s="365"/>
      <c r="C121" s="151"/>
      <c r="D121" s="115"/>
      <c r="E121" s="595"/>
      <c r="F121" s="595"/>
      <c r="G121" s="595"/>
      <c r="H121" s="595"/>
      <c r="I121" s="595"/>
      <c r="J121" s="595"/>
      <c r="K121" s="595"/>
      <c r="L121" s="595"/>
      <c r="M121" s="115"/>
    </row>
    <row r="122" spans="1:13" s="399" customFormat="1" outlineLevel="1">
      <c r="A122" s="363"/>
      <c r="B122" s="365"/>
      <c r="C122" s="151"/>
      <c r="D122" s="115"/>
      <c r="E122" s="595"/>
      <c r="F122" s="595"/>
      <c r="G122" s="595"/>
      <c r="H122" s="595"/>
      <c r="I122" s="595"/>
      <c r="J122" s="595"/>
      <c r="K122" s="595"/>
      <c r="L122" s="595"/>
      <c r="M122" s="115"/>
    </row>
    <row r="123" spans="1:13" ht="15" outlineLevel="1" thickBot="1">
      <c r="A123" s="363"/>
      <c r="B123" s="365"/>
      <c r="C123" s="151" t="str">
        <f t="shared" si="2"/>
        <v>Consommation énergétique de chauffage du parc résidentiel avant recalibration sur les données historiques (TWh EF/an)</v>
      </c>
      <c r="D123" s="115"/>
      <c r="E123" s="615" t="s">
        <v>726</v>
      </c>
      <c r="F123" s="615"/>
      <c r="G123" s="615"/>
      <c r="H123" s="615"/>
      <c r="I123" s="615"/>
      <c r="J123" s="615"/>
      <c r="K123" s="615"/>
      <c r="L123" s="615"/>
      <c r="M123" s="115"/>
    </row>
    <row r="124" spans="1:13" outlineLevel="2">
      <c r="A124" s="363"/>
      <c r="B124" s="365"/>
      <c r="C124" s="151" t="str">
        <f t="shared" si="2"/>
        <v>TWh EF/an</v>
      </c>
      <c r="D124" s="115"/>
      <c r="E124" s="227" t="s">
        <v>727</v>
      </c>
      <c r="F124" s="228">
        <v>2020</v>
      </c>
      <c r="G124" s="228">
        <v>2025</v>
      </c>
      <c r="H124" s="228">
        <v>2030</v>
      </c>
      <c r="I124" s="228">
        <v>2035</v>
      </c>
      <c r="J124" s="228">
        <v>2040</v>
      </c>
      <c r="K124" s="228">
        <v>2045</v>
      </c>
      <c r="L124" s="229">
        <v>2050</v>
      </c>
      <c r="M124" s="115"/>
    </row>
    <row r="125" spans="1:13" outlineLevel="2">
      <c r="A125" s="363"/>
      <c r="B125" s="365"/>
      <c r="C125" s="151" t="str">
        <f t="shared" si="2"/>
        <v>Total</v>
      </c>
      <c r="D125" s="115"/>
      <c r="E125" s="129" t="s">
        <v>144</v>
      </c>
      <c r="F125" s="319">
        <v>310.07173839221986</v>
      </c>
      <c r="G125" s="320">
        <v>281.29863790640337</v>
      </c>
      <c r="H125" s="320">
        <v>261.33325891873159</v>
      </c>
      <c r="I125" s="320">
        <v>250.16681608491268</v>
      </c>
      <c r="J125" s="320">
        <v>244.8353840493775</v>
      </c>
      <c r="K125" s="320">
        <v>239.59318313539441</v>
      </c>
      <c r="L125" s="320">
        <v>234.97266530381805</v>
      </c>
      <c r="M125" s="115"/>
    </row>
    <row r="126" spans="1:13" outlineLevel="2">
      <c r="A126" s="363"/>
      <c r="B126" s="365"/>
      <c r="C126" s="151" t="str">
        <f t="shared" si="2"/>
        <v>Gaz de réseau</v>
      </c>
      <c r="D126" s="115"/>
      <c r="E126" s="122" t="s">
        <v>258</v>
      </c>
      <c r="F126" s="321">
        <v>130.54913187886274</v>
      </c>
      <c r="G126" s="282">
        <v>114.07646453312532</v>
      </c>
      <c r="H126" s="282">
        <v>105.18960718738794</v>
      </c>
      <c r="I126" s="282">
        <v>100.22309064500088</v>
      </c>
      <c r="J126" s="282">
        <v>92.351894102613812</v>
      </c>
      <c r="K126" s="282">
        <v>84.401864441848119</v>
      </c>
      <c r="L126" s="282">
        <v>77.500204781082402</v>
      </c>
      <c r="M126" s="115"/>
    </row>
    <row r="127" spans="1:13" outlineLevel="2">
      <c r="A127" s="363"/>
      <c r="B127" s="365"/>
      <c r="C127" s="151" t="str">
        <f t="shared" si="2"/>
        <v>Produits pétroliers</v>
      </c>
      <c r="D127" s="115"/>
      <c r="E127" s="122" t="s">
        <v>280</v>
      </c>
      <c r="F127" s="321">
        <v>39.200770818278407</v>
      </c>
      <c r="G127" s="282">
        <v>22.911166521479199</v>
      </c>
      <c r="H127" s="282">
        <v>9.6261222246799889</v>
      </c>
      <c r="I127" s="282">
        <v>1.8823488880572592</v>
      </c>
      <c r="J127" s="282">
        <v>0.48237555143453037</v>
      </c>
      <c r="K127" s="282">
        <v>0.24118777571726518</v>
      </c>
      <c r="L127" s="282">
        <v>0</v>
      </c>
      <c r="M127" s="115"/>
    </row>
    <row r="128" spans="1:13" outlineLevel="2">
      <c r="A128" s="363"/>
      <c r="B128" s="365"/>
      <c r="C128" s="151"/>
      <c r="D128" s="115"/>
      <c r="E128" s="179" t="s">
        <v>260</v>
      </c>
      <c r="F128" s="321">
        <f>SUM(F129:F130)</f>
        <v>39.920972561048288</v>
      </c>
      <c r="G128" s="282">
        <f t="shared" ref="G128:L128" si="5">SUM(G129:G130)</f>
        <v>37.807289444386015</v>
      </c>
      <c r="H128" s="282">
        <f t="shared" si="5"/>
        <v>37.598136327723743</v>
      </c>
      <c r="I128" s="282">
        <f t="shared" si="5"/>
        <v>37.552950736699202</v>
      </c>
      <c r="J128" s="282">
        <f t="shared" si="5"/>
        <v>37.940225145674646</v>
      </c>
      <c r="K128" s="282">
        <f t="shared" si="5"/>
        <v>37.867667815902301</v>
      </c>
      <c r="L128" s="282">
        <f t="shared" si="5"/>
        <v>37.561380486129949</v>
      </c>
      <c r="M128" s="115"/>
    </row>
    <row r="129" spans="1:13" outlineLevel="3">
      <c r="A129" s="363"/>
      <c r="B129" s="365"/>
      <c r="C129" s="151" t="str">
        <f t="shared" si="2"/>
        <v>Dont électricité joule</v>
      </c>
      <c r="D129" s="115"/>
      <c r="E129" s="344" t="s">
        <v>728</v>
      </c>
      <c r="F129" s="321">
        <v>33.844365839745365</v>
      </c>
      <c r="G129" s="282">
        <v>27.316052132775127</v>
      </c>
      <c r="H129" s="282">
        <v>23.19486728353445</v>
      </c>
      <c r="I129" s="282">
        <v>20.389199179239942</v>
      </c>
      <c r="J129" s="282">
        <v>18.58353112226342</v>
      </c>
      <c r="K129" s="282">
        <v>17.167949106162812</v>
      </c>
      <c r="L129" s="282">
        <v>15.502691637694184</v>
      </c>
      <c r="M129" s="115"/>
    </row>
    <row r="130" spans="1:13" outlineLevel="3">
      <c r="A130" s="363"/>
      <c r="B130" s="365"/>
      <c r="C130" s="151" t="str">
        <f t="shared" si="2"/>
        <v>Dont électricité Pompe à Chaleur</v>
      </c>
      <c r="D130" s="115"/>
      <c r="E130" s="344" t="s">
        <v>729</v>
      </c>
      <c r="F130" s="321">
        <v>6.076606721302924</v>
      </c>
      <c r="G130" s="282">
        <v>10.491237311610888</v>
      </c>
      <c r="H130" s="282">
        <v>14.403269044189294</v>
      </c>
      <c r="I130" s="282">
        <v>17.163751557459257</v>
      </c>
      <c r="J130" s="282">
        <v>19.356694023411229</v>
      </c>
      <c r="K130" s="282">
        <v>20.699718709739489</v>
      </c>
      <c r="L130" s="282">
        <v>22.058688848435768</v>
      </c>
      <c r="M130" s="115"/>
    </row>
    <row r="131" spans="1:13" outlineLevel="2">
      <c r="A131" s="363"/>
      <c r="B131" s="365"/>
      <c r="C131" s="151" t="str">
        <f t="shared" si="2"/>
        <v>Bois</v>
      </c>
      <c r="D131" s="115"/>
      <c r="E131" s="179" t="s">
        <v>730</v>
      </c>
      <c r="F131" s="321">
        <v>73.759</v>
      </c>
      <c r="G131" s="282">
        <v>70.223050000000001</v>
      </c>
      <c r="H131" s="282">
        <v>64.968540000000004</v>
      </c>
      <c r="I131" s="282">
        <v>61.137999999999998</v>
      </c>
      <c r="J131" s="282">
        <v>60.370170000000002</v>
      </c>
      <c r="K131" s="282">
        <v>60.664180000000002</v>
      </c>
      <c r="L131" s="282">
        <v>60.747819999999997</v>
      </c>
      <c r="M131" s="115"/>
    </row>
    <row r="132" spans="1:13" outlineLevel="2">
      <c r="A132" s="363"/>
      <c r="B132" s="365"/>
      <c r="C132" s="151" t="str">
        <f t="shared" si="2"/>
        <v>Réseau de chaleur</v>
      </c>
      <c r="D132" s="115"/>
      <c r="E132" s="179" t="s">
        <v>731</v>
      </c>
      <c r="F132" s="321">
        <v>13.172051568475567</v>
      </c>
      <c r="G132" s="282">
        <v>13.152257879543392</v>
      </c>
      <c r="H132" s="282">
        <v>12.326284190611217</v>
      </c>
      <c r="I132" s="282">
        <v>11.516124435005462</v>
      </c>
      <c r="J132" s="282">
        <v>11.170784679399709</v>
      </c>
      <c r="K132" s="282">
        <v>10.930012357067106</v>
      </c>
      <c r="L132" s="282">
        <v>10.724180034734504</v>
      </c>
      <c r="M132" s="115"/>
    </row>
    <row r="133" spans="1:13" ht="15" outlineLevel="2" thickBot="1">
      <c r="A133" s="363"/>
      <c r="B133" s="365"/>
      <c r="C133" s="151" t="str">
        <f t="shared" si="2"/>
        <v>Chaleur de l'environnement</v>
      </c>
      <c r="D133" s="115"/>
      <c r="E133" s="179" t="s">
        <v>200</v>
      </c>
      <c r="F133" s="321">
        <v>13.469811565554815</v>
      </c>
      <c r="G133" s="282">
        <v>23.128409527869458</v>
      </c>
      <c r="H133" s="282">
        <v>31.624568988328665</v>
      </c>
      <c r="I133" s="282">
        <v>37.85430138014987</v>
      </c>
      <c r="J133" s="282">
        <v>42.519934570254797</v>
      </c>
      <c r="K133" s="282">
        <v>45.488270744859619</v>
      </c>
      <c r="L133" s="282">
        <v>48.43908000187119</v>
      </c>
      <c r="M133" s="115"/>
    </row>
    <row r="134" spans="1:13" outlineLevel="2">
      <c r="A134" s="363"/>
      <c r="B134" s="365"/>
      <c r="C134" s="151" t="str">
        <f t="shared" si="2"/>
        <v>Sorties du modèle ResIRF. Périmètre hexagone</v>
      </c>
      <c r="D134" s="115"/>
      <c r="E134" s="616" t="s">
        <v>969</v>
      </c>
      <c r="F134" s="616"/>
      <c r="G134" s="616"/>
      <c r="H134" s="616"/>
      <c r="I134" s="616"/>
      <c r="J134" s="616"/>
      <c r="K134" s="616"/>
      <c r="L134" s="616"/>
      <c r="M134" s="115"/>
    </row>
    <row r="135" spans="1:13" outlineLevel="1">
      <c r="A135" s="363"/>
      <c r="B135" s="365"/>
      <c r="C135" s="151" t="str">
        <f t="shared" si="2"/>
        <v/>
      </c>
      <c r="D135" s="115"/>
      <c r="E135" s="288"/>
      <c r="F135" s="288"/>
      <c r="G135" s="288"/>
      <c r="H135" s="288"/>
      <c r="I135" s="288"/>
      <c r="J135" s="288"/>
      <c r="K135" s="288"/>
      <c r="L135" s="288"/>
      <c r="M135" s="115"/>
    </row>
    <row r="136" spans="1:13" ht="15" outlineLevel="1" thickBot="1">
      <c r="A136" s="363"/>
      <c r="B136" s="365"/>
      <c r="C136" s="151" t="str">
        <f t="shared" si="2"/>
        <v>Consommation énergétique de chauffage du parc tertiaire avant recalibration sur les données historiques (TWh EF/an)</v>
      </c>
      <c r="D136" s="115"/>
      <c r="E136" s="615" t="s">
        <v>732</v>
      </c>
      <c r="F136" s="615"/>
      <c r="G136" s="615"/>
      <c r="H136" s="615"/>
      <c r="I136" s="615"/>
      <c r="J136" s="615"/>
      <c r="K136" s="615"/>
      <c r="L136" s="615"/>
      <c r="M136" s="115"/>
    </row>
    <row r="137" spans="1:13" outlineLevel="2">
      <c r="A137" s="363"/>
      <c r="B137" s="365"/>
      <c r="C137" s="151" t="str">
        <f t="shared" si="2"/>
        <v>TWh EF/an</v>
      </c>
      <c r="D137" s="115"/>
      <c r="E137" s="227" t="s">
        <v>727</v>
      </c>
      <c r="F137" s="228">
        <v>2020</v>
      </c>
      <c r="G137" s="228">
        <v>2025</v>
      </c>
      <c r="H137" s="228">
        <v>2030</v>
      </c>
      <c r="I137" s="228">
        <v>2035</v>
      </c>
      <c r="J137" s="228">
        <v>2040</v>
      </c>
      <c r="K137" s="228">
        <v>2045</v>
      </c>
      <c r="L137" s="229">
        <v>2050</v>
      </c>
      <c r="M137" s="115"/>
    </row>
    <row r="138" spans="1:13" outlineLevel="2">
      <c r="A138" s="363"/>
      <c r="B138" s="365"/>
      <c r="C138" s="151" t="str">
        <f t="shared" si="2"/>
        <v>Total</v>
      </c>
      <c r="D138" s="115"/>
      <c r="E138" s="129" t="s">
        <v>144</v>
      </c>
      <c r="F138" s="319">
        <v>107.54353591143249</v>
      </c>
      <c r="G138" s="320">
        <v>101.34376645931607</v>
      </c>
      <c r="H138" s="320">
        <v>95.143997007199687</v>
      </c>
      <c r="I138" s="320">
        <v>93.435056479790134</v>
      </c>
      <c r="J138" s="320">
        <v>91.726115952380539</v>
      </c>
      <c r="K138" s="320">
        <v>88.573478030344205</v>
      </c>
      <c r="L138" s="320">
        <v>85.4208401083079</v>
      </c>
      <c r="M138" s="115"/>
    </row>
    <row r="139" spans="1:13" outlineLevel="2">
      <c r="A139" s="363"/>
      <c r="B139" s="365"/>
      <c r="C139" s="151" t="str">
        <f t="shared" si="2"/>
        <v>Gaz de réseau</v>
      </c>
      <c r="D139" s="115"/>
      <c r="E139" s="179" t="s">
        <v>258</v>
      </c>
      <c r="F139" s="321">
        <v>55.805569818181475</v>
      </c>
      <c r="G139" s="282">
        <v>50.2553235225527</v>
      </c>
      <c r="H139" s="282">
        <v>44.705077226923926</v>
      </c>
      <c r="I139" s="282">
        <v>42.779673119214351</v>
      </c>
      <c r="J139" s="282">
        <v>40.854269011504769</v>
      </c>
      <c r="K139" s="282">
        <v>38.595681969034018</v>
      </c>
      <c r="L139" s="282">
        <v>36.337094926563267</v>
      </c>
      <c r="M139" s="115"/>
    </row>
    <row r="140" spans="1:13" outlineLevel="2">
      <c r="A140" s="363"/>
      <c r="B140" s="365"/>
      <c r="C140" s="151" t="str">
        <f t="shared" si="2"/>
        <v>Produits pétroliers</v>
      </c>
      <c r="D140" s="115"/>
      <c r="E140" s="179" t="s">
        <v>280</v>
      </c>
      <c r="F140" s="321">
        <v>18.908993855575915</v>
      </c>
      <c r="G140" s="282">
        <v>16.294682099030602</v>
      </c>
      <c r="H140" s="282">
        <v>13.68037034248529</v>
      </c>
      <c r="I140" s="282">
        <v>12.477012014350436</v>
      </c>
      <c r="J140" s="282">
        <v>11.273653686215582</v>
      </c>
      <c r="K140" s="282">
        <v>10.032348518041889</v>
      </c>
      <c r="L140" s="282">
        <v>8.7910433498681968</v>
      </c>
      <c r="M140" s="115"/>
    </row>
    <row r="141" spans="1:13" outlineLevel="2">
      <c r="A141" s="363"/>
      <c r="B141" s="365"/>
      <c r="C141" s="151"/>
      <c r="D141" s="115"/>
      <c r="E141" s="179" t="s">
        <v>260</v>
      </c>
      <c r="F141" s="321">
        <v>17.582847755614896</v>
      </c>
      <c r="G141" s="282">
        <v>16.812845484407106</v>
      </c>
      <c r="H141" s="282">
        <v>16.042843213199308</v>
      </c>
      <c r="I141" s="282">
        <v>15.767407917843483</v>
      </c>
      <c r="J141" s="282">
        <v>15.491972622487657</v>
      </c>
      <c r="K141" s="282">
        <v>14.957489273307496</v>
      </c>
      <c r="L141" s="282">
        <v>14.423005924127338</v>
      </c>
      <c r="M141" s="115"/>
    </row>
    <row r="142" spans="1:13" outlineLevel="3">
      <c r="A142" s="363"/>
      <c r="B142" s="365"/>
      <c r="C142" s="151" t="str">
        <f t="shared" ref="C142:C148" si="6">IF(ISBLANK(E142),IF(ISBLANK(F142),"",F142),E142)</f>
        <v>Dont électricité joule</v>
      </c>
      <c r="D142" s="115"/>
      <c r="E142" s="344" t="s">
        <v>728</v>
      </c>
      <c r="F142" s="321">
        <v>14.607452993119287</v>
      </c>
      <c r="G142" s="282">
        <v>12.51496175146243</v>
      </c>
      <c r="H142" s="282">
        <v>10.422470509805571</v>
      </c>
      <c r="I142" s="282">
        <v>9.3050031945464688</v>
      </c>
      <c r="J142" s="282">
        <v>8.1875358792873651</v>
      </c>
      <c r="K142" s="282">
        <v>7.0906362746888263</v>
      </c>
      <c r="L142" s="282">
        <v>5.9937366700902883</v>
      </c>
      <c r="M142" s="115"/>
    </row>
    <row r="143" spans="1:13" outlineLevel="3">
      <c r="A143" s="363"/>
      <c r="B143" s="365"/>
      <c r="C143" s="151" t="str">
        <f t="shared" si="6"/>
        <v>Dont électricité Pompe à Chaleur</v>
      </c>
      <c r="D143" s="115"/>
      <c r="E143" s="344" t="s">
        <v>729</v>
      </c>
      <c r="F143" s="321">
        <v>2.9753947624956107</v>
      </c>
      <c r="G143" s="282">
        <v>4.2978837329446744</v>
      </c>
      <c r="H143" s="282">
        <v>5.6203727033937376</v>
      </c>
      <c r="I143" s="282">
        <v>6.4624047232970145</v>
      </c>
      <c r="J143" s="282">
        <v>7.3044367432002915</v>
      </c>
      <c r="K143" s="282">
        <v>7.8668529986186702</v>
      </c>
      <c r="L143" s="282">
        <v>8.4292692540370489</v>
      </c>
      <c r="M143" s="115"/>
    </row>
    <row r="144" spans="1:13" outlineLevel="2">
      <c r="A144" s="363"/>
      <c r="B144" s="365"/>
      <c r="C144" s="151" t="str">
        <f t="shared" si="6"/>
        <v>Biomasse solide</v>
      </c>
      <c r="D144" s="115"/>
      <c r="E144" s="179" t="s">
        <v>197</v>
      </c>
      <c r="F144" s="321">
        <v>0</v>
      </c>
      <c r="G144" s="282">
        <v>0</v>
      </c>
      <c r="H144" s="282">
        <v>0</v>
      </c>
      <c r="I144" s="282">
        <v>0</v>
      </c>
      <c r="J144" s="282">
        <v>0</v>
      </c>
      <c r="K144" s="282">
        <v>0</v>
      </c>
      <c r="L144" s="282">
        <v>0</v>
      </c>
      <c r="M144" s="115"/>
    </row>
    <row r="145" spans="1:13" outlineLevel="2">
      <c r="A145" s="363"/>
      <c r="B145" s="365"/>
      <c r="C145" s="151" t="str">
        <f t="shared" si="6"/>
        <v>Réseau de chaleur</v>
      </c>
      <c r="D145" s="115"/>
      <c r="E145" s="179" t="s">
        <v>731</v>
      </c>
      <c r="F145" s="321">
        <v>7.4055823362088127</v>
      </c>
      <c r="G145" s="282">
        <v>7.2272676609026618</v>
      </c>
      <c r="H145" s="282">
        <v>7.0489529855965101</v>
      </c>
      <c r="I145" s="282">
        <v>6.8537035854976622</v>
      </c>
      <c r="J145" s="282">
        <v>6.6584541853988153</v>
      </c>
      <c r="K145" s="282">
        <v>6.287254566931189</v>
      </c>
      <c r="L145" s="282">
        <v>5.9160549484635618</v>
      </c>
      <c r="M145" s="115"/>
    </row>
    <row r="146" spans="1:13" outlineLevel="2">
      <c r="A146" s="363"/>
      <c r="B146" s="365"/>
      <c r="C146" s="151"/>
      <c r="D146" s="115"/>
      <c r="E146" s="179" t="s">
        <v>575</v>
      </c>
      <c r="F146" s="321">
        <v>1.2946736683610476</v>
      </c>
      <c r="G146" s="282">
        <v>1.2983034799447348</v>
      </c>
      <c r="H146" s="282">
        <v>1.3019332915284221</v>
      </c>
      <c r="I146" s="282">
        <v>1.3399694516307576</v>
      </c>
      <c r="J146" s="282">
        <v>1.3780056117330932</v>
      </c>
      <c r="K146" s="282">
        <v>1.3936271060685566</v>
      </c>
      <c r="L146" s="282">
        <v>1.4092486004040201</v>
      </c>
      <c r="M146" s="115"/>
    </row>
    <row r="147" spans="1:13" ht="15" outlineLevel="2" thickBot="1">
      <c r="A147" s="363"/>
      <c r="B147" s="365"/>
      <c r="C147" s="151" t="str">
        <f t="shared" si="6"/>
        <v>Chaleur de l'environnement</v>
      </c>
      <c r="D147" s="115"/>
      <c r="E147" s="179" t="s">
        <v>200</v>
      </c>
      <c r="F147" s="321">
        <v>6.5458684774903437</v>
      </c>
      <c r="G147" s="282">
        <v>9.455344212478284</v>
      </c>
      <c r="H147" s="282">
        <v>12.364819947466223</v>
      </c>
      <c r="I147" s="282">
        <v>14.217290391253433</v>
      </c>
      <c r="J147" s="282">
        <v>16.069760835040643</v>
      </c>
      <c r="K147" s="282">
        <v>17.307076596961075</v>
      </c>
      <c r="L147" s="282">
        <v>18.54439235888151</v>
      </c>
      <c r="M147" s="115"/>
    </row>
    <row r="148" spans="1:13" outlineLevel="2">
      <c r="A148" s="363"/>
      <c r="B148" s="365"/>
      <c r="C148" s="151" t="str">
        <f t="shared" si="6"/>
        <v>Périmètre hexagone</v>
      </c>
      <c r="D148" s="115"/>
      <c r="E148" s="616" t="s">
        <v>970</v>
      </c>
      <c r="F148" s="616"/>
      <c r="G148" s="616"/>
      <c r="H148" s="616"/>
      <c r="I148" s="616"/>
      <c r="J148" s="616"/>
      <c r="K148" s="616"/>
      <c r="L148" s="616"/>
      <c r="M148" s="115"/>
    </row>
    <row r="149" spans="1:13" outlineLevel="1">
      <c r="A149" s="363"/>
      <c r="B149" s="365"/>
      <c r="C149" s="151"/>
      <c r="D149" s="115"/>
      <c r="E149" s="288"/>
      <c r="F149" s="288"/>
      <c r="G149" s="288"/>
      <c r="H149" s="288"/>
      <c r="I149" s="288"/>
      <c r="J149" s="288"/>
      <c r="K149" s="288"/>
      <c r="L149" s="288"/>
      <c r="M149" s="115"/>
    </row>
    <row r="150" spans="1:13" s="399" customFormat="1" ht="15" outlineLevel="1" thickBot="1">
      <c r="A150" s="363"/>
      <c r="B150" s="365"/>
      <c r="C150" s="151"/>
      <c r="D150" s="115"/>
      <c r="E150" s="615" t="s">
        <v>862</v>
      </c>
      <c r="F150" s="615"/>
      <c r="G150" s="615"/>
      <c r="H150" s="615"/>
      <c r="I150" s="615"/>
      <c r="J150" s="615"/>
      <c r="K150" s="615"/>
      <c r="L150" s="615"/>
      <c r="M150" s="115"/>
    </row>
    <row r="151" spans="1:13" s="399" customFormat="1" outlineLevel="2">
      <c r="A151" s="363"/>
      <c r="B151" s="365"/>
      <c r="C151" s="151"/>
      <c r="D151" s="115"/>
      <c r="E151" s="227" t="s">
        <v>121</v>
      </c>
      <c r="F151" s="228">
        <v>2020</v>
      </c>
      <c r="G151" s="228">
        <v>2025</v>
      </c>
      <c r="H151" s="228">
        <v>2030</v>
      </c>
      <c r="I151" s="228">
        <v>2035</v>
      </c>
      <c r="J151" s="228">
        <v>2040</v>
      </c>
      <c r="K151" s="228">
        <v>2045</v>
      </c>
      <c r="L151" s="229">
        <v>2050</v>
      </c>
      <c r="M151" s="115"/>
    </row>
    <row r="152" spans="1:13" s="399" customFormat="1" outlineLevel="2">
      <c r="A152" s="363"/>
      <c r="B152" s="365"/>
      <c r="C152" s="151"/>
      <c r="D152" s="115"/>
      <c r="E152" s="179" t="s">
        <v>897</v>
      </c>
      <c r="F152" s="177">
        <v>0.48</v>
      </c>
      <c r="G152" s="174">
        <v>0.48</v>
      </c>
      <c r="H152" s="174">
        <v>0.48</v>
      </c>
      <c r="I152" s="174">
        <v>0.48</v>
      </c>
      <c r="J152" s="174">
        <v>0.48</v>
      </c>
      <c r="K152" s="174">
        <v>0.48</v>
      </c>
      <c r="L152" s="174">
        <v>0.48</v>
      </c>
      <c r="M152" s="115"/>
    </row>
    <row r="153" spans="1:13" s="399" customFormat="1" outlineLevel="2">
      <c r="A153" s="363"/>
      <c r="B153" s="365"/>
      <c r="C153" s="151"/>
      <c r="D153" s="115"/>
      <c r="E153" s="179" t="s">
        <v>898</v>
      </c>
      <c r="F153" s="177">
        <v>0.38</v>
      </c>
      <c r="G153" s="174">
        <v>0.38</v>
      </c>
      <c r="H153" s="174">
        <v>0.38</v>
      </c>
      <c r="I153" s="174">
        <v>0.38</v>
      </c>
      <c r="J153" s="174">
        <v>0.38</v>
      </c>
      <c r="K153" s="174">
        <v>0.38</v>
      </c>
      <c r="L153" s="174">
        <v>0.38</v>
      </c>
      <c r="M153" s="115"/>
    </row>
    <row r="154" spans="1:13" s="399" customFormat="1" outlineLevel="1">
      <c r="A154" s="363"/>
      <c r="B154" s="365"/>
      <c r="C154" s="151"/>
      <c r="D154" s="115"/>
      <c r="E154" s="402"/>
      <c r="F154" s="402"/>
      <c r="G154" s="402"/>
      <c r="H154" s="402"/>
      <c r="I154" s="402"/>
      <c r="J154" s="402"/>
      <c r="K154" s="402"/>
      <c r="L154" s="402"/>
      <c r="M154" s="115"/>
    </row>
    <row r="155" spans="1:13" s="399" customFormat="1" outlineLevel="1">
      <c r="A155" s="363"/>
      <c r="B155" s="365"/>
      <c r="C155" s="151"/>
      <c r="D155" s="115"/>
      <c r="E155" s="402"/>
      <c r="F155" s="402"/>
      <c r="G155" s="402"/>
      <c r="H155" s="402"/>
      <c r="I155" s="402"/>
      <c r="J155" s="402"/>
      <c r="K155" s="402"/>
      <c r="L155" s="402"/>
      <c r="M155" s="115"/>
    </row>
    <row r="156" spans="1:13" s="399" customFormat="1" outlineLevel="1">
      <c r="A156" s="363"/>
      <c r="B156" s="365"/>
      <c r="C156" s="151"/>
      <c r="D156" s="115"/>
      <c r="E156" s="402"/>
      <c r="F156" s="402"/>
      <c r="G156" s="402"/>
      <c r="H156" s="402"/>
      <c r="I156" s="402"/>
      <c r="J156" s="402"/>
      <c r="K156" s="402"/>
      <c r="L156" s="402"/>
      <c r="M156" s="115"/>
    </row>
    <row r="157" spans="1:13" s="399" customFormat="1" outlineLevel="1">
      <c r="A157" s="363"/>
      <c r="B157" s="365"/>
      <c r="C157" s="151"/>
      <c r="D157" s="115"/>
      <c r="E157" s="402"/>
      <c r="F157" s="402"/>
      <c r="G157" s="402"/>
      <c r="H157" s="402"/>
      <c r="I157" s="402"/>
      <c r="J157" s="402"/>
      <c r="K157" s="402"/>
      <c r="L157" s="402"/>
      <c r="M157" s="115"/>
    </row>
    <row r="158" spans="1:13" ht="28.8" thickBot="1">
      <c r="A158" s="363"/>
      <c r="B158" s="365"/>
      <c r="C158" s="151" t="str">
        <f t="shared" ref="C158:C200" si="7">IF(ISBLANK(E158),IF(ISBLANK(F158),"",F158),E158)</f>
        <v>Eau chaude sanitaire</v>
      </c>
      <c r="D158" s="369"/>
      <c r="E158" s="370"/>
      <c r="F158" s="617" t="s">
        <v>733</v>
      </c>
      <c r="G158" s="617"/>
      <c r="H158" s="617"/>
      <c r="I158" s="617"/>
      <c r="J158" s="617"/>
      <c r="K158" s="617"/>
      <c r="L158" s="617"/>
      <c r="M158" s="617"/>
    </row>
    <row r="159" spans="1:13" ht="15" thickTop="1">
      <c r="A159" s="363"/>
      <c r="B159" s="365"/>
      <c r="C159" s="151" t="str">
        <f t="shared" si="7"/>
        <v/>
      </c>
      <c r="D159" s="287"/>
      <c r="E159" s="287"/>
      <c r="F159" s="287"/>
    </row>
    <row r="160" spans="1:13" outlineLevel="1">
      <c r="A160" s="363"/>
      <c r="B160" s="365"/>
      <c r="C160" s="151" t="str">
        <f t="shared" si="7"/>
        <v/>
      </c>
      <c r="D160" s="115"/>
      <c r="E160" s="115"/>
      <c r="F160" s="115"/>
      <c r="G160" s="115"/>
      <c r="H160" s="115"/>
      <c r="I160" s="115"/>
      <c r="J160" s="115"/>
      <c r="K160" s="115"/>
      <c r="L160" s="115"/>
      <c r="M160" s="115"/>
    </row>
    <row r="161" spans="1:13" ht="15.6" customHeight="1" outlineLevel="1">
      <c r="A161" s="363"/>
      <c r="B161" s="365"/>
      <c r="C161" s="151" t="str">
        <f t="shared" si="7"/>
        <v xml:space="preserve">Commentaire
IGCE = 
Diffus = </v>
      </c>
      <c r="D161" s="115"/>
      <c r="E161" s="611" t="s">
        <v>140</v>
      </c>
      <c r="F161" s="612"/>
      <c r="G161" s="612"/>
      <c r="H161" s="612"/>
      <c r="I161" s="612"/>
      <c r="J161" s="612"/>
      <c r="K161" s="612"/>
      <c r="L161" s="612"/>
      <c r="M161" s="115"/>
    </row>
    <row r="162" spans="1:13" ht="149.4" customHeight="1" outlineLevel="1">
      <c r="A162" s="363"/>
      <c r="B162" s="365"/>
      <c r="C162" s="151" t="str">
        <f t="shared" si="7"/>
        <v xml:space="preserve">Pour le résidentiel, l’évolution de la population est utilisée comme proxy pour évaluer la consommation énergétique du hors-chauffage, à partir des valeurs estimées de consommation par habitant.
Pour le tertiaire, c’est l’évolution de la surface totale qui est utilisée comme proxy pour évaluer la consommation énergétique du hors-chauffage ainsi que les trajectoires d’économies d’énergie retenues pour le décret tertiaire. En effet, on considère d’une part les bâtiments qui ne respectent pas le décret tertiaire : dans ce cas, l’intensité de consommation en kWh/m²/an reste constante dans le temps et la consommation finale évolue car indexée sur l’évolution de la surface totale. D’autre part, on considère les bâtiments qui respectent le décret tertiaire : dans ce cas, on applique les gains énergétiques présentés ci-dessus aux consommations par m² et on indexe également sur l’évolution de la surface totale pour obtenir la consommation finale. En sommant ces deux valeurs, on obtient la consommation finale totale des bâtiments tertiaires pour les usages hors chauffage. </v>
      </c>
      <c r="D162" s="115"/>
      <c r="E162" s="613" t="s">
        <v>853</v>
      </c>
      <c r="F162" s="613"/>
      <c r="G162" s="613"/>
      <c r="H162" s="613"/>
      <c r="I162" s="613"/>
      <c r="J162" s="613"/>
      <c r="K162" s="613"/>
      <c r="L162" s="613"/>
      <c r="M162" s="115"/>
    </row>
    <row r="163" spans="1:13" outlineLevel="1">
      <c r="A163" s="363"/>
      <c r="B163" s="365"/>
      <c r="C163" s="151" t="str">
        <f t="shared" si="7"/>
        <v/>
      </c>
      <c r="D163" s="115"/>
      <c r="E163" s="288"/>
      <c r="F163" s="288"/>
      <c r="G163" s="288"/>
      <c r="H163" s="288"/>
      <c r="I163" s="288"/>
      <c r="J163" s="288"/>
      <c r="K163" s="288"/>
      <c r="L163" s="288"/>
      <c r="M163" s="115"/>
    </row>
    <row r="164" spans="1:13" ht="15" outlineLevel="1" thickBot="1">
      <c r="A164" s="363"/>
      <c r="B164" s="365"/>
      <c r="C164" s="151" t="str">
        <f t="shared" si="7"/>
        <v>Consommation d’eau chaude sanitaire dans le résidentiel, avant recalibration sur les données historiques</v>
      </c>
      <c r="D164" s="115"/>
      <c r="E164" s="627" t="s">
        <v>734</v>
      </c>
      <c r="F164" s="627"/>
      <c r="G164" s="627"/>
      <c r="H164" s="627"/>
      <c r="I164" s="627"/>
      <c r="J164" s="627"/>
      <c r="K164" s="627"/>
      <c r="L164" s="627"/>
      <c r="M164" s="115"/>
    </row>
    <row r="165" spans="1:13" outlineLevel="2">
      <c r="A165" s="363"/>
      <c r="B165" s="365"/>
      <c r="C165" s="151">
        <f t="shared" si="7"/>
        <v>2020</v>
      </c>
      <c r="D165" s="115"/>
      <c r="E165" s="322"/>
      <c r="F165" s="323">
        <v>2020</v>
      </c>
      <c r="G165" s="323">
        <v>2025</v>
      </c>
      <c r="H165" s="323">
        <v>2030</v>
      </c>
      <c r="I165" s="323">
        <v>2035</v>
      </c>
      <c r="J165" s="323">
        <v>2040</v>
      </c>
      <c r="K165" s="323">
        <v>2045</v>
      </c>
      <c r="L165" s="324">
        <v>2050</v>
      </c>
      <c r="M165" s="115"/>
    </row>
    <row r="166" spans="1:13" outlineLevel="2">
      <c r="A166" s="363"/>
      <c r="B166" s="365"/>
      <c r="C166" s="151" t="str">
        <f>IF(ISBLANK(E180),IF(ISBLANK(#REF!),"",#REF!),E180)</f>
        <v>Surface tertiaire (Mm²)</v>
      </c>
      <c r="D166" s="115"/>
      <c r="E166" s="325" t="s">
        <v>735</v>
      </c>
      <c r="F166" s="310">
        <v>778</v>
      </c>
      <c r="G166" s="311">
        <v>750</v>
      </c>
      <c r="H166" s="311">
        <v>750</v>
      </c>
      <c r="I166" s="311">
        <v>740</v>
      </c>
      <c r="J166" s="311">
        <v>740</v>
      </c>
      <c r="K166" s="311">
        <v>740</v>
      </c>
      <c r="L166" s="326">
        <v>740</v>
      </c>
      <c r="M166" s="115"/>
    </row>
    <row r="167" spans="1:13" outlineLevel="2">
      <c r="A167" s="363"/>
      <c r="B167" s="365"/>
      <c r="C167" s="151"/>
      <c r="D167" s="115"/>
      <c r="E167" s="325" t="s">
        <v>736</v>
      </c>
      <c r="F167" s="327">
        <v>50.8</v>
      </c>
      <c r="G167" s="328">
        <v>49.4</v>
      </c>
      <c r="H167" s="328">
        <v>49.8</v>
      </c>
      <c r="I167" s="328">
        <v>49.5</v>
      </c>
      <c r="J167" s="328">
        <v>49.6</v>
      </c>
      <c r="K167" s="328">
        <v>49.7</v>
      </c>
      <c r="L167" s="329">
        <v>49.6</v>
      </c>
      <c r="M167" s="115"/>
    </row>
    <row r="168" spans="1:13" outlineLevel="2">
      <c r="A168" s="363"/>
      <c r="B168" s="365"/>
      <c r="C168" s="151">
        <f t="shared" ref="C168:C173" si="8">IF(ISBLANK(N167),IF(ISBLANK(F168),"",F168),N167)</f>
        <v>0.42</v>
      </c>
      <c r="D168" s="115"/>
      <c r="E168" s="330" t="s">
        <v>737</v>
      </c>
      <c r="F168" s="177">
        <v>0.42</v>
      </c>
      <c r="G168" s="174">
        <v>0.41499999999999998</v>
      </c>
      <c r="H168" s="174">
        <v>0.42</v>
      </c>
      <c r="I168" s="174">
        <v>0.42699999999999999</v>
      </c>
      <c r="J168" s="174">
        <v>0.435</v>
      </c>
      <c r="K168" s="174">
        <v>0.442</v>
      </c>
      <c r="L168" s="331">
        <v>0.45</v>
      </c>
      <c r="M168" s="115"/>
    </row>
    <row r="169" spans="1:13" outlineLevel="2">
      <c r="A169" s="363"/>
      <c r="B169" s="365"/>
      <c r="C169" s="151">
        <f t="shared" si="8"/>
        <v>7.0000000000000007E-2</v>
      </c>
      <c r="D169" s="115"/>
      <c r="E169" s="330" t="s">
        <v>738</v>
      </c>
      <c r="F169" s="177">
        <v>7.0000000000000007E-2</v>
      </c>
      <c r="G169" s="174">
        <v>7.4999999999999997E-2</v>
      </c>
      <c r="H169" s="174">
        <v>7.3999999999999996E-2</v>
      </c>
      <c r="I169" s="174">
        <v>7.1999999999999995E-2</v>
      </c>
      <c r="J169" s="174">
        <v>7.0000000000000007E-2</v>
      </c>
      <c r="K169" s="174">
        <v>6.7000000000000004E-2</v>
      </c>
      <c r="L169" s="331">
        <v>6.6000000000000003E-2</v>
      </c>
      <c r="M169" s="115"/>
    </row>
    <row r="170" spans="1:13" outlineLevel="2">
      <c r="A170" s="363"/>
      <c r="B170" s="365"/>
      <c r="C170" s="151">
        <f t="shared" si="8"/>
        <v>0.12</v>
      </c>
      <c r="D170" s="115"/>
      <c r="E170" s="330" t="s">
        <v>739</v>
      </c>
      <c r="F170" s="177">
        <v>0.12</v>
      </c>
      <c r="G170" s="174">
        <v>0.112</v>
      </c>
      <c r="H170" s="174">
        <v>7.8E-2</v>
      </c>
      <c r="I170" s="174">
        <v>0.04</v>
      </c>
      <c r="J170" s="174">
        <v>3.3000000000000002E-2</v>
      </c>
      <c r="K170" s="174">
        <v>2.3E-2</v>
      </c>
      <c r="L170" s="331">
        <v>0</v>
      </c>
      <c r="M170" s="115"/>
    </row>
    <row r="171" spans="1:13" outlineLevel="2">
      <c r="A171" s="363"/>
      <c r="B171" s="365"/>
      <c r="C171" s="151">
        <f t="shared" si="8"/>
        <v>0.32300000000000001</v>
      </c>
      <c r="D171" s="115"/>
      <c r="E171" s="330" t="s">
        <v>740</v>
      </c>
      <c r="F171" s="177">
        <v>0.32300000000000001</v>
      </c>
      <c r="G171" s="174">
        <v>0.318</v>
      </c>
      <c r="H171" s="174">
        <v>0.314</v>
      </c>
      <c r="I171" s="174">
        <v>0.307</v>
      </c>
      <c r="J171" s="174">
        <v>0.29499999999999998</v>
      </c>
      <c r="K171" s="174">
        <v>0.28000000000000003</v>
      </c>
      <c r="L171" s="331">
        <v>0.27</v>
      </c>
      <c r="M171" s="115"/>
    </row>
    <row r="172" spans="1:13" outlineLevel="2">
      <c r="A172" s="363"/>
      <c r="B172" s="365"/>
      <c r="C172" s="151">
        <f t="shared" si="8"/>
        <v>7.0000000000000001E-3</v>
      </c>
      <c r="D172" s="115"/>
      <c r="E172" s="330" t="s">
        <v>741</v>
      </c>
      <c r="F172" s="177">
        <v>7.0000000000000001E-3</v>
      </c>
      <c r="G172" s="174">
        <v>0.01</v>
      </c>
      <c r="H172" s="174">
        <v>0.01</v>
      </c>
      <c r="I172" s="174">
        <v>1.0999999999999999E-2</v>
      </c>
      <c r="J172" s="174">
        <v>1.2E-2</v>
      </c>
      <c r="K172" s="174">
        <v>1.2999999999999999E-2</v>
      </c>
      <c r="L172" s="331">
        <v>1.4E-2</v>
      </c>
      <c r="M172" s="115"/>
    </row>
    <row r="173" spans="1:13" ht="15" outlineLevel="2" thickBot="1">
      <c r="A173" s="363"/>
      <c r="B173" s="365"/>
      <c r="C173" s="151">
        <f t="shared" si="8"/>
        <v>0.02</v>
      </c>
      <c r="D173" s="115"/>
      <c r="E173" s="332" t="s">
        <v>742</v>
      </c>
      <c r="F173" s="333">
        <v>0.02</v>
      </c>
      <c r="G173" s="334">
        <v>0.02</v>
      </c>
      <c r="H173" s="334">
        <v>2.5000000000000001E-2</v>
      </c>
      <c r="I173" s="334">
        <v>2.5000000000000001E-2</v>
      </c>
      <c r="J173" s="334">
        <v>2.5000000000000001E-2</v>
      </c>
      <c r="K173" s="334">
        <v>2.5000000000000001E-2</v>
      </c>
      <c r="L173" s="335">
        <v>2.5000000000000001E-2</v>
      </c>
      <c r="M173" s="115"/>
    </row>
    <row r="174" spans="1:13" outlineLevel="2">
      <c r="A174" s="363"/>
      <c r="B174" s="365"/>
      <c r="C174" s="151" t="str">
        <f t="shared" si="7"/>
        <v>Périmètre hexagone</v>
      </c>
      <c r="D174" s="115"/>
      <c r="E174" s="616" t="s">
        <v>970</v>
      </c>
      <c r="F174" s="616"/>
      <c r="G174" s="616"/>
      <c r="H174" s="616"/>
      <c r="I174" s="616"/>
      <c r="J174" s="616"/>
      <c r="K174" s="616"/>
      <c r="L174" s="616"/>
      <c r="M174" s="115"/>
    </row>
    <row r="175" spans="1:13" outlineLevel="1">
      <c r="A175" s="363"/>
      <c r="B175" s="365"/>
      <c r="C175" s="151" t="str">
        <f t="shared" si="7"/>
        <v/>
      </c>
      <c r="D175" s="115"/>
      <c r="E175" s="288"/>
      <c r="F175" s="288"/>
      <c r="G175" s="288"/>
      <c r="H175" s="288"/>
      <c r="I175" s="288"/>
      <c r="J175" s="288"/>
      <c r="K175" s="288"/>
      <c r="L175" s="288"/>
      <c r="M175" s="115"/>
    </row>
    <row r="176" spans="1:13" ht="15" outlineLevel="1" thickBot="1">
      <c r="A176" s="363"/>
      <c r="B176" s="365"/>
      <c r="C176" s="151" t="str">
        <f t="shared" si="7"/>
        <v>Consommation d’eau chaude sanitaire dans le tertiaire, avant recalibration sur les données historiques</v>
      </c>
      <c r="D176" s="115"/>
      <c r="E176" s="627" t="s">
        <v>743</v>
      </c>
      <c r="F176" s="627"/>
      <c r="G176" s="627"/>
      <c r="H176" s="627"/>
      <c r="I176" s="627"/>
      <c r="J176" s="627"/>
      <c r="K176" s="627"/>
      <c r="L176" s="627"/>
      <c r="M176" s="115"/>
    </row>
    <row r="177" spans="1:13" outlineLevel="2">
      <c r="A177" s="363"/>
      <c r="B177" s="365"/>
      <c r="C177" s="151">
        <f t="shared" si="7"/>
        <v>2020</v>
      </c>
      <c r="D177" s="115"/>
      <c r="E177" s="322"/>
      <c r="F177" s="323">
        <v>2020</v>
      </c>
      <c r="G177" s="323">
        <v>2025</v>
      </c>
      <c r="H177" s="323">
        <v>2030</v>
      </c>
      <c r="I177" s="323">
        <v>2035</v>
      </c>
      <c r="J177" s="323">
        <v>2040</v>
      </c>
      <c r="K177" s="323">
        <v>2045</v>
      </c>
      <c r="L177" s="324">
        <v>2050</v>
      </c>
      <c r="M177" s="115"/>
    </row>
    <row r="178" spans="1:13" outlineLevel="2">
      <c r="A178" s="363"/>
      <c r="B178" s="365"/>
      <c r="C178" s="151"/>
      <c r="D178" s="115"/>
      <c r="E178" s="325" t="s">
        <v>744</v>
      </c>
      <c r="F178" s="310">
        <v>24</v>
      </c>
      <c r="G178" s="311">
        <v>24</v>
      </c>
      <c r="H178" s="311">
        <v>24</v>
      </c>
      <c r="I178" s="311">
        <v>24</v>
      </c>
      <c r="J178" s="311">
        <v>24</v>
      </c>
      <c r="K178" s="311">
        <v>24</v>
      </c>
      <c r="L178" s="326">
        <v>24</v>
      </c>
      <c r="M178" s="115"/>
    </row>
    <row r="179" spans="1:13" outlineLevel="2">
      <c r="A179" s="363"/>
      <c r="B179" s="365"/>
      <c r="C179" s="151"/>
      <c r="D179" s="115"/>
      <c r="E179" s="325" t="s">
        <v>745</v>
      </c>
      <c r="F179" s="310">
        <v>24</v>
      </c>
      <c r="G179" s="311">
        <v>20</v>
      </c>
      <c r="H179" s="311">
        <v>17</v>
      </c>
      <c r="I179" s="311">
        <v>15</v>
      </c>
      <c r="J179" s="311">
        <v>14</v>
      </c>
      <c r="K179" s="311">
        <v>13</v>
      </c>
      <c r="L179" s="326">
        <v>11</v>
      </c>
      <c r="M179" s="115"/>
    </row>
    <row r="180" spans="1:13" outlineLevel="2">
      <c r="A180" s="363"/>
      <c r="B180" s="365"/>
      <c r="C180" s="151" t="e">
        <f>IF(ISBLANK(#REF!),IF(ISBLANK(F180),"",F180),#REF!)</f>
        <v>#REF!</v>
      </c>
      <c r="D180" s="115"/>
      <c r="E180" s="330" t="s">
        <v>746</v>
      </c>
      <c r="F180" s="336">
        <v>983</v>
      </c>
      <c r="G180" s="337">
        <v>993</v>
      </c>
      <c r="H180" s="337">
        <v>1003</v>
      </c>
      <c r="I180" s="337">
        <v>1011</v>
      </c>
      <c r="J180" s="337">
        <v>1019</v>
      </c>
      <c r="K180" s="337">
        <v>1014</v>
      </c>
      <c r="L180" s="338">
        <v>1009</v>
      </c>
      <c r="M180" s="115"/>
    </row>
    <row r="181" spans="1:13" outlineLevel="2">
      <c r="A181" s="363"/>
      <c r="B181" s="365"/>
      <c r="C181" s="151" t="e">
        <f>IF(ISBLANK(#REF!),IF(ISBLANK(F181),"",F181),#REF!)</f>
        <v>#REF!</v>
      </c>
      <c r="D181" s="115"/>
      <c r="E181" s="325" t="s">
        <v>736</v>
      </c>
      <c r="F181" s="327">
        <v>24</v>
      </c>
      <c r="G181" s="328">
        <v>23</v>
      </c>
      <c r="H181" s="328">
        <v>21</v>
      </c>
      <c r="I181" s="328">
        <v>21</v>
      </c>
      <c r="J181" s="328">
        <v>21</v>
      </c>
      <c r="K181" s="328">
        <v>20</v>
      </c>
      <c r="L181" s="329">
        <v>19</v>
      </c>
      <c r="M181" s="115"/>
    </row>
    <row r="182" spans="1:13" outlineLevel="2">
      <c r="A182" s="363"/>
      <c r="B182" s="365"/>
      <c r="C182" s="151" t="str">
        <f t="shared" si="7"/>
        <v>Part d'électricité (pompes à chaleur incluses)</v>
      </c>
      <c r="D182" s="115"/>
      <c r="E182" s="330" t="s">
        <v>747</v>
      </c>
      <c r="F182" s="177">
        <v>0.3</v>
      </c>
      <c r="G182" s="174">
        <v>0.32599999999999996</v>
      </c>
      <c r="H182" s="174">
        <v>0.35199999999999998</v>
      </c>
      <c r="I182" s="174">
        <v>0.36599999999999999</v>
      </c>
      <c r="J182" s="174">
        <v>0.38</v>
      </c>
      <c r="K182" s="174">
        <v>0.39</v>
      </c>
      <c r="L182" s="331">
        <v>0.4</v>
      </c>
      <c r="M182" s="115"/>
    </row>
    <row r="183" spans="1:13" outlineLevel="2">
      <c r="A183" s="363"/>
      <c r="B183" s="365"/>
      <c r="C183" s="151" t="str">
        <f t="shared" si="7"/>
        <v>Part de réseau de chaleur</v>
      </c>
      <c r="D183" s="115"/>
      <c r="E183" s="330" t="s">
        <v>738</v>
      </c>
      <c r="F183" s="177">
        <v>6.5264849886638152E-2</v>
      </c>
      <c r="G183" s="174">
        <v>7.2632424943319077E-2</v>
      </c>
      <c r="H183" s="174">
        <v>0.08</v>
      </c>
      <c r="I183" s="174">
        <v>0.08</v>
      </c>
      <c r="J183" s="174">
        <v>0.08</v>
      </c>
      <c r="K183" s="174">
        <v>0.08</v>
      </c>
      <c r="L183" s="331">
        <v>0.08</v>
      </c>
      <c r="M183" s="115"/>
    </row>
    <row r="184" spans="1:13" outlineLevel="2">
      <c r="A184" s="363"/>
      <c r="B184" s="365"/>
      <c r="C184" s="151" t="str">
        <f t="shared" si="7"/>
        <v>Part de pétrole/GPL</v>
      </c>
      <c r="D184" s="115"/>
      <c r="E184" s="330" t="s">
        <v>739</v>
      </c>
      <c r="F184" s="177">
        <v>0.14872764446813611</v>
      </c>
      <c r="G184" s="174">
        <v>0.13936382223406807</v>
      </c>
      <c r="H184" s="174">
        <v>0.13</v>
      </c>
      <c r="I184" s="174">
        <v>0.12</v>
      </c>
      <c r="J184" s="174">
        <v>0.11</v>
      </c>
      <c r="K184" s="174">
        <v>0.10500000000000001</v>
      </c>
      <c r="L184" s="331">
        <v>0.1</v>
      </c>
      <c r="M184" s="115"/>
    </row>
    <row r="185" spans="1:13" outlineLevel="2">
      <c r="A185" s="363"/>
      <c r="B185" s="365"/>
      <c r="C185" s="151" t="str">
        <f t="shared" si="7"/>
        <v>Part de gaz naturel</v>
      </c>
      <c r="D185" s="115"/>
      <c r="E185" s="330" t="s">
        <v>740</v>
      </c>
      <c r="F185" s="177">
        <v>0.47</v>
      </c>
      <c r="G185" s="174">
        <v>0.44499999999999995</v>
      </c>
      <c r="H185" s="174">
        <v>0.42</v>
      </c>
      <c r="I185" s="174">
        <v>0.41549999999999998</v>
      </c>
      <c r="J185" s="174">
        <v>0.41099999999999998</v>
      </c>
      <c r="K185" s="174">
        <v>0.40549999999999997</v>
      </c>
      <c r="L185" s="331">
        <v>0.4</v>
      </c>
      <c r="M185" s="115"/>
    </row>
    <row r="186" spans="1:13" outlineLevel="2">
      <c r="A186" s="363"/>
      <c r="B186" s="365"/>
      <c r="C186" s="151" t="str">
        <f t="shared" si="7"/>
        <v>Part de biomasse solide</v>
      </c>
      <c r="D186" s="115"/>
      <c r="E186" s="330" t="s">
        <v>741</v>
      </c>
      <c r="F186" s="177">
        <v>6.0425857322091549E-3</v>
      </c>
      <c r="G186" s="174">
        <v>7.0212928661045771E-3</v>
      </c>
      <c r="H186" s="174">
        <v>8.0000000000000002E-3</v>
      </c>
      <c r="I186" s="174">
        <v>8.5000000000000006E-3</v>
      </c>
      <c r="J186" s="174">
        <v>9.0000000000000011E-3</v>
      </c>
      <c r="K186" s="174">
        <v>9.5000000000000015E-3</v>
      </c>
      <c r="L186" s="331">
        <v>0.01</v>
      </c>
      <c r="M186" s="115"/>
    </row>
    <row r="187" spans="1:13" ht="15" outlineLevel="2" thickBot="1">
      <c r="A187" s="363"/>
      <c r="B187" s="365"/>
      <c r="C187" s="151" t="str">
        <f t="shared" si="7"/>
        <v>Part de renouvelables thermiques</v>
      </c>
      <c r="D187" s="115"/>
      <c r="E187" s="332" t="s">
        <v>742</v>
      </c>
      <c r="F187" s="333">
        <v>0.01</v>
      </c>
      <c r="G187" s="334">
        <v>0.01</v>
      </c>
      <c r="H187" s="334">
        <v>0.01</v>
      </c>
      <c r="I187" s="334">
        <v>0.01</v>
      </c>
      <c r="J187" s="334">
        <v>0.01</v>
      </c>
      <c r="K187" s="334">
        <v>0.01</v>
      </c>
      <c r="L187" s="335">
        <v>0.01</v>
      </c>
      <c r="M187" s="115"/>
    </row>
    <row r="188" spans="1:13" outlineLevel="2">
      <c r="A188" s="363"/>
      <c r="B188" s="365"/>
      <c r="C188" s="151" t="str">
        <f t="shared" si="7"/>
        <v>Point 2020 : Données SDES 2022 sur 2020. Périmètre hexagone</v>
      </c>
      <c r="D188" s="115"/>
      <c r="E188" s="610" t="s">
        <v>971</v>
      </c>
      <c r="F188" s="610"/>
      <c r="G188" s="610"/>
      <c r="H188" s="610"/>
      <c r="I188" s="610"/>
      <c r="J188" s="610"/>
      <c r="K188" s="610"/>
      <c r="L188" s="610"/>
      <c r="M188" s="115"/>
    </row>
    <row r="189" spans="1:13" outlineLevel="1">
      <c r="A189" s="363"/>
      <c r="B189" s="365"/>
      <c r="C189" s="151"/>
      <c r="D189" s="115"/>
      <c r="E189" s="288"/>
      <c r="F189" s="288"/>
      <c r="G189" s="288"/>
      <c r="H189" s="288"/>
      <c r="I189" s="288"/>
      <c r="J189" s="288"/>
      <c r="K189" s="288"/>
      <c r="L189" s="288"/>
      <c r="M189" s="115"/>
    </row>
    <row r="190" spans="1:13" outlineLevel="1">
      <c r="A190" s="363"/>
      <c r="B190" s="365"/>
      <c r="C190" s="151"/>
      <c r="D190" s="115"/>
      <c r="E190" s="288"/>
      <c r="F190" s="288"/>
      <c r="G190" s="288"/>
      <c r="H190" s="288"/>
      <c r="I190" s="288"/>
      <c r="J190" s="288"/>
      <c r="K190" s="288"/>
      <c r="L190" s="288"/>
      <c r="M190" s="115"/>
    </row>
    <row r="191" spans="1:13" ht="28.8" thickBot="1">
      <c r="A191" s="363"/>
      <c r="B191" s="365"/>
      <c r="C191" s="151" t="str">
        <f t="shared" si="7"/>
        <v>Cuisson</v>
      </c>
      <c r="D191" s="369"/>
      <c r="E191" s="370"/>
      <c r="F191" s="617" t="s">
        <v>748</v>
      </c>
      <c r="G191" s="617"/>
      <c r="H191" s="617"/>
      <c r="I191" s="617"/>
      <c r="J191" s="617"/>
      <c r="K191" s="617"/>
      <c r="L191" s="617"/>
      <c r="M191" s="617"/>
    </row>
    <row r="192" spans="1:13" ht="15" thickTop="1">
      <c r="A192" s="363"/>
      <c r="B192" s="365"/>
      <c r="C192" s="151" t="str">
        <f t="shared" si="7"/>
        <v/>
      </c>
      <c r="D192" s="287"/>
      <c r="E192" s="287"/>
      <c r="F192" s="287"/>
    </row>
    <row r="193" spans="1:15" outlineLevel="1">
      <c r="A193" s="363"/>
      <c r="B193" s="365"/>
      <c r="C193" s="151" t="str">
        <f t="shared" si="7"/>
        <v/>
      </c>
      <c r="D193" s="115"/>
      <c r="E193" s="115"/>
      <c r="F193" s="115"/>
      <c r="G193" s="115"/>
      <c r="H193" s="115"/>
      <c r="I193" s="115"/>
      <c r="J193" s="115"/>
      <c r="K193" s="115"/>
      <c r="L193" s="115"/>
      <c r="M193" s="115"/>
    </row>
    <row r="194" spans="1:15" outlineLevel="1">
      <c r="A194" s="363"/>
      <c r="B194" s="365"/>
      <c r="C194" s="151" t="str">
        <f t="shared" si="7"/>
        <v/>
      </c>
      <c r="D194" s="115"/>
      <c r="E194" s="288"/>
      <c r="F194" s="288"/>
      <c r="G194" s="288"/>
      <c r="H194" s="288"/>
      <c r="I194" s="288"/>
      <c r="J194" s="288"/>
      <c r="K194" s="288"/>
      <c r="L194" s="288"/>
      <c r="M194" s="115"/>
    </row>
    <row r="195" spans="1:15" ht="15" outlineLevel="1" thickBot="1">
      <c r="A195" s="363"/>
      <c r="B195" s="365"/>
      <c r="C195" s="151" t="str">
        <f t="shared" si="7"/>
        <v>Consommation d’énergie pour la cuisson dans le résidentiel, avant recalibration sur les données historiques</v>
      </c>
      <c r="D195" s="115"/>
      <c r="E195" s="615" t="s">
        <v>749</v>
      </c>
      <c r="F195" s="615"/>
      <c r="G195" s="615"/>
      <c r="H195" s="615"/>
      <c r="I195" s="615"/>
      <c r="J195" s="615"/>
      <c r="K195" s="615"/>
      <c r="L195" s="615"/>
      <c r="M195" s="115"/>
    </row>
    <row r="196" spans="1:15" outlineLevel="2">
      <c r="A196" s="363"/>
      <c r="B196" s="365"/>
      <c r="C196" s="151" t="str">
        <f t="shared" si="7"/>
        <v>%</v>
      </c>
      <c r="D196" s="115"/>
      <c r="E196" s="119" t="s">
        <v>121</v>
      </c>
      <c r="F196" s="130">
        <v>2020</v>
      </c>
      <c r="G196" s="130">
        <v>2025</v>
      </c>
      <c r="H196" s="130">
        <v>2030</v>
      </c>
      <c r="I196" s="130">
        <v>2035</v>
      </c>
      <c r="J196" s="130">
        <v>2040</v>
      </c>
      <c r="K196" s="130">
        <v>2045</v>
      </c>
      <c r="L196" s="131">
        <v>2050</v>
      </c>
      <c r="M196" s="115"/>
    </row>
    <row r="197" spans="1:15" outlineLevel="2">
      <c r="A197" s="363"/>
      <c r="B197" s="365"/>
      <c r="C197" s="151" t="str">
        <f t="shared" si="7"/>
        <v>Cuisson (kWh/hab/an)</v>
      </c>
      <c r="D197" s="115"/>
      <c r="E197" s="129" t="s">
        <v>750</v>
      </c>
      <c r="F197" s="143">
        <v>386</v>
      </c>
      <c r="G197" s="339">
        <v>350</v>
      </c>
      <c r="H197" s="339">
        <v>340</v>
      </c>
      <c r="I197" s="339">
        <v>330</v>
      </c>
      <c r="J197" s="339">
        <v>320</v>
      </c>
      <c r="K197" s="339">
        <v>310</v>
      </c>
      <c r="L197" s="340">
        <v>300</v>
      </c>
      <c r="M197" s="115"/>
    </row>
    <row r="198" spans="1:15" outlineLevel="2">
      <c r="A198" s="363"/>
      <c r="B198" s="365"/>
      <c r="C198" s="151" t="str">
        <f t="shared" si="7"/>
        <v>Consommation (TWh énergie finale)</v>
      </c>
      <c r="D198" s="115"/>
      <c r="E198" s="129" t="s">
        <v>736</v>
      </c>
      <c r="F198" s="319">
        <v>25.2</v>
      </c>
      <c r="G198" s="320">
        <v>23.1</v>
      </c>
      <c r="H198" s="320">
        <v>22.6</v>
      </c>
      <c r="I198" s="320">
        <v>22.1</v>
      </c>
      <c r="J198" s="320">
        <v>21.5</v>
      </c>
      <c r="K198" s="320">
        <v>20.8</v>
      </c>
      <c r="L198" s="320">
        <v>20.100000000000001</v>
      </c>
      <c r="M198" s="115"/>
    </row>
    <row r="199" spans="1:15" outlineLevel="2">
      <c r="A199" s="363"/>
      <c r="B199" s="365"/>
      <c r="C199" s="151" t="str">
        <f t="shared" si="7"/>
        <v>Part d'électricité</v>
      </c>
      <c r="D199" s="115"/>
      <c r="E199" s="330" t="s">
        <v>737</v>
      </c>
      <c r="F199" s="177">
        <v>0.45500000000000002</v>
      </c>
      <c r="G199" s="174">
        <v>0.503</v>
      </c>
      <c r="H199" s="174">
        <v>0.55000000000000004</v>
      </c>
      <c r="I199" s="174">
        <v>0.57799999999999996</v>
      </c>
      <c r="J199" s="174">
        <v>0.60499999999999998</v>
      </c>
      <c r="K199" s="174">
        <v>0.63300000000000001</v>
      </c>
      <c r="L199" s="174">
        <v>0.66</v>
      </c>
      <c r="M199" s="115"/>
    </row>
    <row r="200" spans="1:15" outlineLevel="2">
      <c r="A200" s="363"/>
      <c r="B200" s="365"/>
      <c r="C200" s="151" t="str">
        <f t="shared" si="7"/>
        <v>Part de gaz naturel</v>
      </c>
      <c r="D200" s="115"/>
      <c r="E200" s="330" t="s">
        <v>740</v>
      </c>
      <c r="F200" s="177">
        <v>0.36199999999999999</v>
      </c>
      <c r="G200" s="174">
        <v>0.35599999999999998</v>
      </c>
      <c r="H200" s="174">
        <v>0.35</v>
      </c>
      <c r="I200" s="174">
        <v>0.33500000000000002</v>
      </c>
      <c r="J200" s="174">
        <v>0.32</v>
      </c>
      <c r="K200" s="174">
        <v>0.30499999999999999</v>
      </c>
      <c r="L200" s="174">
        <v>0.28999999999999998</v>
      </c>
      <c r="M200" s="115"/>
    </row>
    <row r="201" spans="1:15" ht="15" outlineLevel="2" thickBot="1">
      <c r="A201" s="363"/>
      <c r="B201" s="365"/>
      <c r="C201" s="151" t="str">
        <f>IF(ISBLANK(E201),IF(ISBLANK(F201),"",F201),E201)</f>
        <v>Part de pétrole/GPL</v>
      </c>
      <c r="D201" s="115"/>
      <c r="E201" s="330" t="s">
        <v>739</v>
      </c>
      <c r="F201" s="177">
        <v>0.183</v>
      </c>
      <c r="G201" s="174">
        <v>0.14199999999999999</v>
      </c>
      <c r="H201" s="174">
        <v>0.1</v>
      </c>
      <c r="I201" s="174">
        <v>8.7999999999999995E-2</v>
      </c>
      <c r="J201" s="174">
        <v>7.4999999999999997E-2</v>
      </c>
      <c r="K201" s="174">
        <v>6.3E-2</v>
      </c>
      <c r="L201" s="174">
        <v>0.05</v>
      </c>
      <c r="M201" s="115"/>
    </row>
    <row r="202" spans="1:15" outlineLevel="2">
      <c r="A202" s="363"/>
      <c r="B202" s="365"/>
      <c r="C202" s="151" t="str">
        <f>IF(ISBLANK(E202),IF(ISBLANK(F202),"",F202),E202)</f>
        <v>Périmètre hexagone</v>
      </c>
      <c r="D202" s="115"/>
      <c r="E202" s="616" t="s">
        <v>970</v>
      </c>
      <c r="F202" s="616"/>
      <c r="G202" s="616"/>
      <c r="H202" s="616"/>
      <c r="I202" s="616"/>
      <c r="J202" s="616"/>
      <c r="K202" s="616"/>
      <c r="L202" s="616"/>
      <c r="M202" s="115"/>
      <c r="O202" s="190"/>
    </row>
    <row r="203" spans="1:15" outlineLevel="1">
      <c r="A203" s="363"/>
      <c r="B203" s="365"/>
      <c r="C203" s="151" t="str">
        <f>IF(ISBLANK(E203),IF(ISBLANK(F203),"",F203),E203)</f>
        <v/>
      </c>
      <c r="D203" s="115"/>
      <c r="E203" s="288"/>
      <c r="F203" s="288"/>
      <c r="G203" s="288"/>
      <c r="H203" s="288"/>
      <c r="I203" s="288"/>
      <c r="J203" s="288"/>
      <c r="K203" s="288"/>
      <c r="L203" s="288"/>
      <c r="M203" s="115"/>
      <c r="O203" s="190"/>
    </row>
    <row r="204" spans="1:15" ht="15" outlineLevel="1" thickBot="1">
      <c r="A204" s="363"/>
      <c r="B204" s="365"/>
      <c r="C204" s="151" t="str">
        <f t="shared" ref="C204:C205" si="9">IF(ISBLANK(E204),IF(ISBLANK(F204),"",F204),E204)</f>
        <v>Consommation d’énergie pour la cuisson dans le tertiaire, avant recalibration sur les données historiques</v>
      </c>
      <c r="D204" s="115"/>
      <c r="E204" s="615" t="s">
        <v>751</v>
      </c>
      <c r="F204" s="615"/>
      <c r="G204" s="615"/>
      <c r="H204" s="615"/>
      <c r="I204" s="615"/>
      <c r="J204" s="615"/>
      <c r="K204" s="615"/>
      <c r="L204" s="615"/>
      <c r="M204" s="115"/>
    </row>
    <row r="205" spans="1:15" outlineLevel="2">
      <c r="A205" s="363"/>
      <c r="B205" s="365"/>
      <c r="C205" s="151">
        <f t="shared" si="9"/>
        <v>2020</v>
      </c>
      <c r="D205" s="115"/>
      <c r="E205" s="322"/>
      <c r="F205" s="323">
        <v>2020</v>
      </c>
      <c r="G205" s="323">
        <v>2025</v>
      </c>
      <c r="H205" s="323">
        <v>2030</v>
      </c>
      <c r="I205" s="323">
        <v>2035</v>
      </c>
      <c r="J205" s="323">
        <v>2040</v>
      </c>
      <c r="K205" s="323">
        <v>2045</v>
      </c>
      <c r="L205" s="324">
        <v>2050</v>
      </c>
      <c r="M205" s="115"/>
    </row>
    <row r="206" spans="1:15" outlineLevel="2">
      <c r="A206" s="363"/>
      <c r="B206" s="365"/>
      <c r="C206" s="151"/>
      <c r="D206" s="115"/>
      <c r="E206" s="325" t="s">
        <v>752</v>
      </c>
      <c r="F206" s="310">
        <v>12</v>
      </c>
      <c r="G206" s="311">
        <v>12</v>
      </c>
      <c r="H206" s="311">
        <v>12</v>
      </c>
      <c r="I206" s="311">
        <v>12</v>
      </c>
      <c r="J206" s="311">
        <v>12</v>
      </c>
      <c r="K206" s="311">
        <v>12</v>
      </c>
      <c r="L206" s="326">
        <v>12</v>
      </c>
      <c r="M206" s="115"/>
    </row>
    <row r="207" spans="1:15" outlineLevel="2">
      <c r="A207" s="363"/>
      <c r="B207" s="365"/>
      <c r="C207" s="151"/>
      <c r="D207" s="115"/>
      <c r="E207" s="325" t="s">
        <v>753</v>
      </c>
      <c r="F207" s="310">
        <v>12</v>
      </c>
      <c r="G207" s="311">
        <v>10</v>
      </c>
      <c r="H207" s="311">
        <v>8</v>
      </c>
      <c r="I207" s="311">
        <v>8</v>
      </c>
      <c r="J207" s="311">
        <v>7</v>
      </c>
      <c r="K207" s="311">
        <v>6</v>
      </c>
      <c r="L207" s="326">
        <v>6</v>
      </c>
      <c r="M207" s="115"/>
    </row>
    <row r="208" spans="1:15" outlineLevel="2">
      <c r="A208" s="363"/>
      <c r="B208" s="365"/>
      <c r="C208" s="151" t="e">
        <f>IF(ISBLANK(#REF!),IF(ISBLANK(F208),"",F208),#REF!)</f>
        <v>#REF!</v>
      </c>
      <c r="D208" s="115"/>
      <c r="E208" s="330" t="s">
        <v>746</v>
      </c>
      <c r="F208" s="336">
        <v>983</v>
      </c>
      <c r="G208" s="337">
        <v>993</v>
      </c>
      <c r="H208" s="337">
        <v>1003</v>
      </c>
      <c r="I208" s="337">
        <v>1011</v>
      </c>
      <c r="J208" s="337">
        <v>1019</v>
      </c>
      <c r="K208" s="337">
        <v>1014</v>
      </c>
      <c r="L208" s="338">
        <v>1009</v>
      </c>
      <c r="M208" s="115"/>
    </row>
    <row r="209" spans="1:15" outlineLevel="2">
      <c r="A209" s="363"/>
      <c r="B209" s="365"/>
      <c r="C209" s="151" t="e">
        <f>IF(ISBLANK(#REF!),IF(ISBLANK(F209),"",F209),#REF!)</f>
        <v>#REF!</v>
      </c>
      <c r="D209" s="115"/>
      <c r="E209" s="325" t="s">
        <v>736</v>
      </c>
      <c r="F209" s="327">
        <v>12</v>
      </c>
      <c r="G209" s="328">
        <v>11</v>
      </c>
      <c r="H209" s="328">
        <v>11</v>
      </c>
      <c r="I209" s="328">
        <v>10</v>
      </c>
      <c r="J209" s="328">
        <v>10</v>
      </c>
      <c r="K209" s="328">
        <v>10</v>
      </c>
      <c r="L209" s="329">
        <v>10</v>
      </c>
      <c r="M209" s="115"/>
    </row>
    <row r="210" spans="1:15" outlineLevel="2">
      <c r="A210" s="363"/>
      <c r="B210" s="365"/>
      <c r="C210" s="151" t="str">
        <f t="shared" ref="C210:C214" si="10">IF(ISBLANK(E210),IF(ISBLANK(F210),"",F210),E210)</f>
        <v>Part d'électricité (pompes à chaleur incluses)</v>
      </c>
      <c r="D210" s="115"/>
      <c r="E210" s="330" t="s">
        <v>747</v>
      </c>
      <c r="F210" s="177">
        <v>0.38100000000000001</v>
      </c>
      <c r="G210" s="174">
        <v>0.39300000000000002</v>
      </c>
      <c r="H210" s="174">
        <v>0.40400000000000003</v>
      </c>
      <c r="I210" s="174">
        <v>0.40400000000000003</v>
      </c>
      <c r="J210" s="174">
        <v>0.40400000000000003</v>
      </c>
      <c r="K210" s="174">
        <v>0.40400000000000003</v>
      </c>
      <c r="L210" s="174">
        <v>0.40400000000000003</v>
      </c>
      <c r="M210" s="115"/>
    </row>
    <row r="211" spans="1:15" outlineLevel="2">
      <c r="A211" s="363"/>
      <c r="B211" s="365"/>
      <c r="C211" s="151" t="str">
        <f t="shared" si="10"/>
        <v>Part de pétrole/GPL</v>
      </c>
      <c r="D211" s="115"/>
      <c r="E211" s="330" t="s">
        <v>739</v>
      </c>
      <c r="F211" s="177">
        <v>0.122</v>
      </c>
      <c r="G211" s="174">
        <v>0.111</v>
      </c>
      <c r="H211" s="174">
        <v>0.1</v>
      </c>
      <c r="I211" s="174">
        <v>0.1</v>
      </c>
      <c r="J211" s="174">
        <v>0.1</v>
      </c>
      <c r="K211" s="174">
        <v>0.1</v>
      </c>
      <c r="L211" s="174">
        <v>0.1</v>
      </c>
      <c r="M211" s="115"/>
    </row>
    <row r="212" spans="1:15" outlineLevel="2">
      <c r="A212" s="363"/>
      <c r="B212" s="365"/>
      <c r="C212" s="151" t="str">
        <f t="shared" si="10"/>
        <v>Part de gaz naturel</v>
      </c>
      <c r="D212" s="115"/>
      <c r="E212" s="330" t="s">
        <v>740</v>
      </c>
      <c r="F212" s="177">
        <v>0.49099999999999999</v>
      </c>
      <c r="G212" s="174">
        <v>0.49099999999999999</v>
      </c>
      <c r="H212" s="174">
        <v>0.49</v>
      </c>
      <c r="I212" s="174">
        <v>0.49</v>
      </c>
      <c r="J212" s="174">
        <v>0.49</v>
      </c>
      <c r="K212" s="174">
        <v>0.49</v>
      </c>
      <c r="L212" s="174">
        <v>0.49</v>
      </c>
      <c r="M212" s="115"/>
    </row>
    <row r="213" spans="1:15" ht="15" outlineLevel="2" thickBot="1">
      <c r="A213" s="363"/>
      <c r="B213" s="365"/>
      <c r="C213" s="151" t="str">
        <f t="shared" si="10"/>
        <v>Part de biomasse solide</v>
      </c>
      <c r="D213" s="115"/>
      <c r="E213" s="330" t="s">
        <v>741</v>
      </c>
      <c r="F213" s="177">
        <v>6.0000000000000001E-3</v>
      </c>
      <c r="G213" s="174">
        <v>6.0000000000000001E-3</v>
      </c>
      <c r="H213" s="174">
        <v>6.0000000000000001E-3</v>
      </c>
      <c r="I213" s="174">
        <v>6.0000000000000001E-3</v>
      </c>
      <c r="J213" s="174">
        <v>6.0000000000000001E-3</v>
      </c>
      <c r="K213" s="174">
        <v>6.0000000000000001E-3</v>
      </c>
      <c r="L213" s="174">
        <v>6.0000000000000001E-3</v>
      </c>
      <c r="M213" s="115"/>
    </row>
    <row r="214" spans="1:15" outlineLevel="2">
      <c r="A214" s="363"/>
      <c r="B214" s="365"/>
      <c r="C214" s="151" t="str">
        <f t="shared" si="10"/>
        <v>Périmètre hexagone. DEET : Dispositif Eco Efficacité Tertiaire</v>
      </c>
      <c r="D214" s="115"/>
      <c r="E214" s="616" t="s">
        <v>1098</v>
      </c>
      <c r="F214" s="616"/>
      <c r="G214" s="616"/>
      <c r="H214" s="616"/>
      <c r="I214" s="616"/>
      <c r="J214" s="616"/>
      <c r="K214" s="616"/>
      <c r="L214" s="616"/>
      <c r="M214" s="115"/>
    </row>
    <row r="215" spans="1:15" outlineLevel="1">
      <c r="A215" s="363"/>
      <c r="B215" s="365"/>
      <c r="C215" s="151"/>
      <c r="D215" s="115"/>
      <c r="E215" s="288"/>
      <c r="F215" s="288"/>
      <c r="G215" s="288"/>
      <c r="H215" s="288"/>
      <c r="I215" s="288"/>
      <c r="J215" s="288"/>
      <c r="K215" s="288"/>
      <c r="L215" s="288"/>
      <c r="M215" s="115"/>
      <c r="O215" s="190"/>
    </row>
    <row r="216" spans="1:15" outlineLevel="1">
      <c r="A216" s="363"/>
      <c r="B216" s="365"/>
      <c r="C216" s="151"/>
      <c r="D216" s="115"/>
      <c r="E216" s="288"/>
      <c r="F216" s="288"/>
      <c r="G216" s="288"/>
      <c r="H216" s="288"/>
      <c r="I216" s="288"/>
      <c r="J216" s="288"/>
      <c r="K216" s="288"/>
      <c r="L216" s="288"/>
      <c r="M216" s="115"/>
      <c r="O216" s="190"/>
    </row>
    <row r="217" spans="1:15" ht="28.8" thickBot="1">
      <c r="A217" s="363"/>
      <c r="B217" s="365"/>
      <c r="C217" s="151" t="str">
        <f>IF(ISBLANK(E217),IF(ISBLANK(F217),"",F217),E217)</f>
        <v>Electricité spécifique</v>
      </c>
      <c r="D217" s="369"/>
      <c r="E217" s="370"/>
      <c r="F217" s="617" t="s">
        <v>754</v>
      </c>
      <c r="G217" s="617"/>
      <c r="H217" s="617"/>
      <c r="I217" s="617"/>
      <c r="J217" s="617"/>
      <c r="K217" s="617"/>
      <c r="L217" s="617"/>
      <c r="M217" s="617"/>
      <c r="O217" s="189"/>
    </row>
    <row r="218" spans="1:15" ht="15" thickTop="1">
      <c r="A218" s="363"/>
      <c r="B218" s="365"/>
      <c r="C218" s="151" t="str">
        <f>IF(ISBLANK(E218),IF(ISBLANK(F218),"",F218),E218)</f>
        <v/>
      </c>
      <c r="D218" s="287"/>
      <c r="E218" s="287"/>
      <c r="F218" s="287"/>
      <c r="O218" s="189"/>
    </row>
    <row r="219" spans="1:15" ht="14.4" customHeight="1" outlineLevel="1">
      <c r="A219" s="363"/>
      <c r="B219" s="365"/>
      <c r="C219" s="151" t="str">
        <f>IF(ISBLANK(E219),IF(ISBLANK(F219),"",F219),E219)</f>
        <v/>
      </c>
      <c r="D219" s="115"/>
      <c r="E219" s="115"/>
      <c r="F219" s="115"/>
      <c r="G219" s="115"/>
      <c r="H219" s="115"/>
      <c r="I219" s="115"/>
      <c r="J219" s="115"/>
      <c r="K219" s="115"/>
      <c r="L219" s="115"/>
      <c r="M219" s="115"/>
      <c r="O219" s="189"/>
    </row>
    <row r="220" spans="1:15" ht="14.4" customHeight="1" outlineLevel="1">
      <c r="A220" s="363"/>
      <c r="B220" s="365"/>
      <c r="C220" s="151" t="str">
        <f t="shared" ref="C220:C303" si="11">IF(ISBLANK(E220),IF(ISBLANK(F220),"",F220),E220)</f>
        <v/>
      </c>
      <c r="D220" s="115"/>
      <c r="E220" s="288"/>
      <c r="F220" s="288"/>
      <c r="G220" s="288"/>
      <c r="H220" s="288"/>
      <c r="I220" s="288"/>
      <c r="J220" s="288"/>
      <c r="K220" s="288"/>
      <c r="L220" s="288"/>
      <c r="M220" s="115"/>
      <c r="O220" s="190"/>
    </row>
    <row r="221" spans="1:15" ht="15" customHeight="1" outlineLevel="1" thickBot="1">
      <c r="A221" s="363"/>
      <c r="B221" s="365"/>
      <c r="C221" s="151" t="str">
        <f t="shared" si="11"/>
        <v>Consommation d’électricité spécifique dans le résidentiel</v>
      </c>
      <c r="D221" s="115"/>
      <c r="E221" s="615" t="s">
        <v>755</v>
      </c>
      <c r="F221" s="615"/>
      <c r="G221" s="615"/>
      <c r="H221" s="615"/>
      <c r="I221" s="615"/>
      <c r="J221" s="615"/>
      <c r="K221" s="615"/>
      <c r="L221" s="615"/>
      <c r="M221" s="115"/>
      <c r="O221" s="190"/>
    </row>
    <row r="222" spans="1:15" ht="14.4" customHeight="1" outlineLevel="2">
      <c r="A222" s="363"/>
      <c r="B222" s="365"/>
      <c r="C222" s="151">
        <f t="shared" si="11"/>
        <v>2020</v>
      </c>
      <c r="D222" s="115"/>
      <c r="E222" s="322"/>
      <c r="F222" s="323">
        <v>2020</v>
      </c>
      <c r="G222" s="323">
        <v>2025</v>
      </c>
      <c r="H222" s="323">
        <v>2030</v>
      </c>
      <c r="I222" s="323">
        <v>2035</v>
      </c>
      <c r="J222" s="323">
        <v>2040</v>
      </c>
      <c r="K222" s="323">
        <v>2045</v>
      </c>
      <c r="L222" s="324">
        <v>2050</v>
      </c>
      <c r="M222" s="115"/>
      <c r="O222" s="189"/>
    </row>
    <row r="223" spans="1:15" ht="14.4" customHeight="1" outlineLevel="2">
      <c r="A223" s="363"/>
      <c r="B223" s="365"/>
      <c r="C223" s="151" t="str">
        <f t="shared" si="11"/>
        <v>Electricité spécifique (kWh/hab/an)</v>
      </c>
      <c r="D223" s="115"/>
      <c r="E223" s="325" t="s">
        <v>756</v>
      </c>
      <c r="F223" s="310">
        <v>1165</v>
      </c>
      <c r="G223" s="311">
        <v>1154</v>
      </c>
      <c r="H223" s="311">
        <v>1143</v>
      </c>
      <c r="I223" s="311">
        <v>1158</v>
      </c>
      <c r="J223" s="311">
        <v>1174</v>
      </c>
      <c r="K223" s="311">
        <v>1190</v>
      </c>
      <c r="L223" s="326">
        <v>1207</v>
      </c>
      <c r="M223" s="115"/>
      <c r="O223" s="189"/>
    </row>
    <row r="224" spans="1:15" ht="14.4" customHeight="1" outlineLevel="2" thickBot="1">
      <c r="A224" s="363"/>
      <c r="B224" s="365"/>
      <c r="C224" s="151" t="str">
        <f t="shared" si="11"/>
        <v>Consommation (TWh énergie finale)</v>
      </c>
      <c r="D224" s="115"/>
      <c r="E224" s="325" t="s">
        <v>736</v>
      </c>
      <c r="F224" s="341">
        <v>76</v>
      </c>
      <c r="G224" s="342">
        <v>76</v>
      </c>
      <c r="H224" s="342">
        <v>76</v>
      </c>
      <c r="I224" s="342">
        <v>77</v>
      </c>
      <c r="J224" s="342">
        <v>79</v>
      </c>
      <c r="K224" s="342">
        <v>80</v>
      </c>
      <c r="L224" s="343">
        <v>81</v>
      </c>
      <c r="M224" s="115"/>
      <c r="O224" s="191"/>
    </row>
    <row r="225" spans="1:15" outlineLevel="2">
      <c r="A225" s="363"/>
      <c r="B225" s="365"/>
      <c r="C225" s="151" t="str">
        <f t="shared" si="11"/>
        <v>Périmètre hexagone</v>
      </c>
      <c r="D225" s="115"/>
      <c r="E225" s="616" t="s">
        <v>970</v>
      </c>
      <c r="F225" s="616"/>
      <c r="G225" s="616"/>
      <c r="H225" s="616"/>
      <c r="I225" s="616"/>
      <c r="J225" s="616"/>
      <c r="K225" s="616"/>
      <c r="L225" s="616"/>
      <c r="M225" s="115"/>
    </row>
    <row r="226" spans="1:15" outlineLevel="1">
      <c r="A226" s="363"/>
      <c r="B226" s="365"/>
      <c r="C226" s="151" t="str">
        <f t="shared" si="11"/>
        <v/>
      </c>
      <c r="D226" s="115"/>
      <c r="E226" s="288"/>
      <c r="F226" s="288"/>
      <c r="G226" s="288"/>
      <c r="H226" s="288"/>
      <c r="I226" s="288"/>
      <c r="J226" s="288"/>
      <c r="K226" s="288"/>
      <c r="L226" s="288"/>
      <c r="M226" s="115"/>
    </row>
    <row r="227" spans="1:15" ht="15" customHeight="1" outlineLevel="1" thickBot="1">
      <c r="A227" s="363"/>
      <c r="B227" s="365"/>
      <c r="C227" s="151" t="str">
        <f t="shared" si="11"/>
        <v>Consommation d’électricité spécifique dans le tertiaire</v>
      </c>
      <c r="D227" s="115"/>
      <c r="E227" s="615" t="s">
        <v>757</v>
      </c>
      <c r="F227" s="615"/>
      <c r="G227" s="615"/>
      <c r="H227" s="615"/>
      <c r="I227" s="615"/>
      <c r="J227" s="615"/>
      <c r="K227" s="615"/>
      <c r="L227" s="615"/>
      <c r="M227" s="115"/>
      <c r="O227" s="190"/>
    </row>
    <row r="228" spans="1:15" ht="14.4" customHeight="1" outlineLevel="2">
      <c r="A228" s="363"/>
      <c r="B228" s="365"/>
      <c r="C228" s="151">
        <f t="shared" si="11"/>
        <v>2020</v>
      </c>
      <c r="D228" s="115"/>
      <c r="E228" s="322"/>
      <c r="F228" s="323">
        <v>2020</v>
      </c>
      <c r="G228" s="323">
        <v>2025</v>
      </c>
      <c r="H228" s="323">
        <v>2030</v>
      </c>
      <c r="I228" s="323">
        <v>2035</v>
      </c>
      <c r="J228" s="323">
        <v>2040</v>
      </c>
      <c r="K228" s="323">
        <v>2045</v>
      </c>
      <c r="L228" s="324">
        <v>2050</v>
      </c>
      <c r="M228" s="115"/>
      <c r="O228" s="189"/>
    </row>
    <row r="229" spans="1:15" ht="14.4" customHeight="1" outlineLevel="2">
      <c r="A229" s="363"/>
      <c r="B229" s="365"/>
      <c r="C229" s="151" t="str">
        <f t="shared" si="11"/>
        <v>Elec spé (kWh/m²) – hors DEET</v>
      </c>
      <c r="D229" s="115"/>
      <c r="E229" s="325" t="s">
        <v>758</v>
      </c>
      <c r="F229" s="310">
        <v>71</v>
      </c>
      <c r="G229" s="311">
        <v>71</v>
      </c>
      <c r="H229" s="311">
        <v>71</v>
      </c>
      <c r="I229" s="311">
        <v>73</v>
      </c>
      <c r="J229" s="311">
        <v>76</v>
      </c>
      <c r="K229" s="311">
        <v>78</v>
      </c>
      <c r="L229" s="326">
        <v>81</v>
      </c>
      <c r="M229" s="115"/>
      <c r="O229" s="189"/>
    </row>
    <row r="230" spans="1:15" ht="14.4" customHeight="1" outlineLevel="2">
      <c r="A230" s="363"/>
      <c r="B230" s="365"/>
      <c r="C230" s="151" t="str">
        <f t="shared" si="11"/>
        <v>Elec spé (kWh/m²) – suivant DEET</v>
      </c>
      <c r="D230" s="115"/>
      <c r="E230" s="325" t="s">
        <v>759</v>
      </c>
      <c r="F230" s="310">
        <v>71</v>
      </c>
      <c r="G230" s="311">
        <v>60</v>
      </c>
      <c r="H230" s="311">
        <v>49</v>
      </c>
      <c r="I230" s="311">
        <v>45</v>
      </c>
      <c r="J230" s="311">
        <v>41</v>
      </c>
      <c r="K230" s="311">
        <v>38</v>
      </c>
      <c r="L230" s="326">
        <v>34</v>
      </c>
      <c r="M230" s="115"/>
      <c r="O230" s="191"/>
    </row>
    <row r="231" spans="1:15" ht="14.4" customHeight="1" outlineLevel="2">
      <c r="A231" s="363"/>
      <c r="B231" s="365"/>
      <c r="C231" s="151" t="str">
        <f t="shared" si="11"/>
        <v>Surface tertiaire (Mm²)</v>
      </c>
      <c r="D231" s="115"/>
      <c r="E231" s="330" t="s">
        <v>746</v>
      </c>
      <c r="F231" s="336">
        <v>983</v>
      </c>
      <c r="G231" s="337">
        <v>993</v>
      </c>
      <c r="H231" s="337">
        <v>1003</v>
      </c>
      <c r="I231" s="337">
        <v>1011</v>
      </c>
      <c r="J231" s="337">
        <v>1019</v>
      </c>
      <c r="K231" s="337">
        <v>1014</v>
      </c>
      <c r="L231" s="338">
        <v>1009</v>
      </c>
      <c r="M231" s="115"/>
      <c r="O231" s="191"/>
    </row>
    <row r="232" spans="1:15" ht="14.4" customHeight="1" outlineLevel="2" thickBot="1">
      <c r="A232" s="363"/>
      <c r="B232" s="365"/>
      <c r="C232" s="151" t="str">
        <f t="shared" si="11"/>
        <v>Consommation (TWh énergie finale)</v>
      </c>
      <c r="D232" s="115"/>
      <c r="E232" s="325" t="s">
        <v>736</v>
      </c>
      <c r="F232" s="327">
        <v>70</v>
      </c>
      <c r="G232" s="328">
        <v>67</v>
      </c>
      <c r="H232" s="328">
        <v>63</v>
      </c>
      <c r="I232" s="328">
        <v>63</v>
      </c>
      <c r="J232" s="328">
        <v>64</v>
      </c>
      <c r="K232" s="328">
        <v>64</v>
      </c>
      <c r="L232" s="329">
        <v>64</v>
      </c>
      <c r="M232" s="115"/>
      <c r="O232" s="191"/>
    </row>
    <row r="233" spans="1:15" outlineLevel="2">
      <c r="A233" s="363"/>
      <c r="B233" s="365"/>
      <c r="C233" s="151" t="str">
        <f t="shared" si="11"/>
        <v>Périmètre hexagone</v>
      </c>
      <c r="D233" s="115"/>
      <c r="E233" s="616" t="s">
        <v>970</v>
      </c>
      <c r="F233" s="616"/>
      <c r="G233" s="616"/>
      <c r="H233" s="616"/>
      <c r="I233" s="616"/>
      <c r="J233" s="616"/>
      <c r="K233" s="616"/>
      <c r="L233" s="616"/>
      <c r="M233" s="115"/>
    </row>
    <row r="234" spans="1:15" outlineLevel="1">
      <c r="A234" s="363"/>
      <c r="B234" s="365"/>
      <c r="C234" s="151"/>
      <c r="D234" s="115"/>
      <c r="E234" s="288"/>
      <c r="F234" s="288"/>
      <c r="G234" s="288"/>
      <c r="H234" s="288"/>
      <c r="I234" s="288"/>
      <c r="J234" s="288"/>
      <c r="K234" s="288"/>
      <c r="L234" s="288"/>
      <c r="M234" s="115"/>
    </row>
    <row r="235" spans="1:15" ht="28.8" thickBot="1">
      <c r="A235" s="363"/>
      <c r="B235" s="365"/>
      <c r="C235" s="151" t="str">
        <f>IF(ISBLANK(E235),IF(ISBLANK(F235),"",F235),E235)</f>
        <v>Climatisation</v>
      </c>
      <c r="D235" s="369"/>
      <c r="E235" s="370"/>
      <c r="F235" s="617" t="s">
        <v>760</v>
      </c>
      <c r="G235" s="617"/>
      <c r="H235" s="617"/>
      <c r="I235" s="617"/>
      <c r="J235" s="617"/>
      <c r="K235" s="617"/>
      <c r="L235" s="617"/>
      <c r="M235" s="617"/>
    </row>
    <row r="236" spans="1:15" ht="15" thickTop="1">
      <c r="A236" s="363"/>
      <c r="B236" s="365"/>
      <c r="C236" s="151" t="str">
        <f t="shared" si="11"/>
        <v/>
      </c>
      <c r="D236" s="287"/>
      <c r="E236" s="287"/>
      <c r="F236" s="287"/>
    </row>
    <row r="237" spans="1:15" outlineLevel="1">
      <c r="A237" s="126"/>
      <c r="B237" s="118"/>
      <c r="C237" s="151" t="str">
        <f t="shared" si="11"/>
        <v/>
      </c>
      <c r="D237" s="115"/>
      <c r="E237" s="288"/>
      <c r="F237" s="288"/>
      <c r="G237" s="288"/>
      <c r="H237" s="288"/>
      <c r="I237" s="288"/>
      <c r="J237" s="288"/>
      <c r="K237" s="288"/>
      <c r="L237" s="288"/>
      <c r="M237" s="115"/>
    </row>
    <row r="238" spans="1:15" ht="15" outlineLevel="1" thickBot="1">
      <c r="A238" s="126"/>
      <c r="B238" s="118"/>
      <c r="C238" s="151" t="str">
        <f t="shared" si="11"/>
        <v>Taux d'équipements en climatiseurs par zone climatique dans le résidentiel</v>
      </c>
      <c r="D238" s="115"/>
      <c r="E238" s="615" t="s">
        <v>899</v>
      </c>
      <c r="F238" s="615"/>
      <c r="G238" s="615"/>
      <c r="H238" s="615"/>
      <c r="I238" s="615"/>
      <c r="J238" s="615"/>
      <c r="K238" s="615"/>
      <c r="L238" s="615"/>
      <c r="M238" s="115"/>
    </row>
    <row r="239" spans="1:15" s="399" customFormat="1" outlineLevel="1">
      <c r="A239" s="126"/>
      <c r="B239" s="118"/>
      <c r="C239" s="151"/>
      <c r="D239" s="115"/>
      <c r="E239" s="227" t="s">
        <v>121</v>
      </c>
      <c r="F239" s="228">
        <v>2020</v>
      </c>
      <c r="G239" s="228">
        <v>2025</v>
      </c>
      <c r="H239" s="228">
        <v>2030</v>
      </c>
      <c r="I239" s="228">
        <v>2035</v>
      </c>
      <c r="J239" s="228">
        <v>2040</v>
      </c>
      <c r="K239" s="228">
        <v>2045</v>
      </c>
      <c r="L239" s="229">
        <v>2050</v>
      </c>
      <c r="M239" s="115"/>
    </row>
    <row r="240" spans="1:15" s="399" customFormat="1" outlineLevel="1">
      <c r="A240" s="126"/>
      <c r="B240" s="118"/>
      <c r="C240" s="151"/>
      <c r="D240" s="115"/>
      <c r="E240" s="122" t="s">
        <v>763</v>
      </c>
      <c r="F240" s="180">
        <v>0.17</v>
      </c>
      <c r="G240" s="181"/>
      <c r="H240" s="181">
        <v>0.375</v>
      </c>
      <c r="I240" s="181"/>
      <c r="J240" s="181">
        <v>0.57999999999999996</v>
      </c>
      <c r="K240" s="181"/>
      <c r="L240" s="181">
        <v>0.94998700159524041</v>
      </c>
      <c r="M240" s="115"/>
    </row>
    <row r="241" spans="1:13" s="399" customFormat="1" outlineLevel="1">
      <c r="A241" s="126"/>
      <c r="B241" s="118"/>
      <c r="C241" s="151"/>
      <c r="D241" s="115"/>
      <c r="E241" s="122" t="s">
        <v>764</v>
      </c>
      <c r="F241" s="180">
        <v>0.31</v>
      </c>
      <c r="G241" s="181"/>
      <c r="H241" s="181">
        <v>0.48</v>
      </c>
      <c r="I241" s="181"/>
      <c r="J241" s="181">
        <v>0.72</v>
      </c>
      <c r="K241" s="181"/>
      <c r="L241" s="181">
        <v>0.93</v>
      </c>
      <c r="M241" s="115"/>
    </row>
    <row r="242" spans="1:13" s="399" customFormat="1" outlineLevel="1">
      <c r="A242" s="126"/>
      <c r="B242" s="118"/>
      <c r="C242" s="151"/>
      <c r="D242" s="115"/>
      <c r="E242" s="122" t="s">
        <v>765</v>
      </c>
      <c r="F242" s="180">
        <v>0.28000000000000003</v>
      </c>
      <c r="G242" s="181"/>
      <c r="H242" s="181">
        <v>0.53</v>
      </c>
      <c r="I242" s="181"/>
      <c r="J242" s="181">
        <v>0.78</v>
      </c>
      <c r="K242" s="181"/>
      <c r="L242" s="181">
        <v>0.95</v>
      </c>
      <c r="M242" s="115"/>
    </row>
    <row r="243" spans="1:13" s="399" customFormat="1" outlineLevel="1">
      <c r="A243" s="126"/>
      <c r="B243" s="118"/>
      <c r="C243" s="151"/>
      <c r="D243" s="115"/>
      <c r="E243" s="179" t="s">
        <v>766</v>
      </c>
      <c r="F243" s="180">
        <v>0.11</v>
      </c>
      <c r="G243" s="181"/>
      <c r="H243" s="181">
        <v>0.34</v>
      </c>
      <c r="I243" s="181"/>
      <c r="J243" s="181">
        <v>0.54</v>
      </c>
      <c r="K243" s="181"/>
      <c r="L243" s="181">
        <v>0.94</v>
      </c>
      <c r="M243" s="115"/>
    </row>
    <row r="244" spans="1:13" s="399" customFormat="1" outlineLevel="1">
      <c r="A244" s="126"/>
      <c r="B244" s="118"/>
      <c r="C244" s="151"/>
      <c r="D244" s="115"/>
      <c r="E244" s="122" t="s">
        <v>767</v>
      </c>
      <c r="F244" s="180">
        <v>0.24</v>
      </c>
      <c r="G244" s="181"/>
      <c r="H244" s="181">
        <v>0.46</v>
      </c>
      <c r="I244" s="181"/>
      <c r="J244" s="181">
        <v>0.7</v>
      </c>
      <c r="K244" s="181"/>
      <c r="L244" s="181">
        <v>0.88</v>
      </c>
      <c r="M244" s="115"/>
    </row>
    <row r="245" spans="1:13" s="399" customFormat="1" outlineLevel="1">
      <c r="A245" s="126"/>
      <c r="B245" s="118"/>
      <c r="C245" s="151"/>
      <c r="D245" s="115"/>
      <c r="E245" s="122" t="s">
        <v>768</v>
      </c>
      <c r="F245" s="180">
        <v>0.32</v>
      </c>
      <c r="G245" s="181"/>
      <c r="H245" s="181">
        <v>0.56999999999999995</v>
      </c>
      <c r="I245" s="181"/>
      <c r="J245" s="181">
        <v>0.84</v>
      </c>
      <c r="K245" s="181"/>
      <c r="L245" s="181">
        <v>0.98</v>
      </c>
      <c r="M245" s="115"/>
    </row>
    <row r="246" spans="1:13" s="399" customFormat="1" outlineLevel="1">
      <c r="A246" s="126"/>
      <c r="B246" s="118"/>
      <c r="C246" s="151"/>
      <c r="D246" s="115"/>
      <c r="E246" s="122" t="s">
        <v>769</v>
      </c>
      <c r="F246" s="180">
        <v>0.40500000000000003</v>
      </c>
      <c r="G246" s="181"/>
      <c r="H246" s="181">
        <v>0.7</v>
      </c>
      <c r="I246" s="181"/>
      <c r="J246" s="181">
        <v>0.98</v>
      </c>
      <c r="K246" s="181"/>
      <c r="L246" s="181">
        <v>0.98</v>
      </c>
      <c r="M246" s="115"/>
    </row>
    <row r="247" spans="1:13" s="399" customFormat="1" outlineLevel="1">
      <c r="A247" s="126"/>
      <c r="B247" s="118"/>
      <c r="C247" s="151"/>
      <c r="D247" s="115"/>
      <c r="E247" s="179" t="s">
        <v>770</v>
      </c>
      <c r="F247" s="180">
        <v>0.46500000000000002</v>
      </c>
      <c r="G247" s="181"/>
      <c r="H247" s="181">
        <v>0.76</v>
      </c>
      <c r="I247" s="181"/>
      <c r="J247" s="181">
        <v>0.98</v>
      </c>
      <c r="K247" s="181"/>
      <c r="L247" s="181">
        <v>0.98</v>
      </c>
      <c r="M247" s="115"/>
    </row>
    <row r="248" spans="1:13" s="399" customFormat="1" outlineLevel="1">
      <c r="A248" s="126"/>
      <c r="B248" s="118"/>
      <c r="C248" s="151"/>
      <c r="D248" s="115"/>
      <c r="E248" s="122" t="s">
        <v>771</v>
      </c>
      <c r="F248" s="180">
        <v>0.27</v>
      </c>
      <c r="G248" s="181"/>
      <c r="H248" s="181">
        <v>0.55000000000000004</v>
      </c>
      <c r="I248" s="181"/>
      <c r="J248" s="181">
        <v>0.8</v>
      </c>
      <c r="K248" s="181"/>
      <c r="L248" s="181">
        <v>0.98</v>
      </c>
      <c r="M248" s="115"/>
    </row>
    <row r="249" spans="1:13" s="399" customFormat="1" outlineLevel="1">
      <c r="A249" s="126"/>
      <c r="B249" s="118"/>
      <c r="C249" s="151"/>
      <c r="D249" s="115"/>
      <c r="E249" s="122" t="s">
        <v>772</v>
      </c>
      <c r="F249" s="180">
        <v>0.5</v>
      </c>
      <c r="G249" s="181"/>
      <c r="H249" s="181">
        <v>0.79</v>
      </c>
      <c r="I249" s="181"/>
      <c r="J249" s="181">
        <v>0.98</v>
      </c>
      <c r="K249" s="181"/>
      <c r="L249" s="181">
        <v>0.98</v>
      </c>
      <c r="M249" s="115"/>
    </row>
    <row r="250" spans="1:13" s="399" customFormat="1" outlineLevel="1">
      <c r="A250" s="126"/>
      <c r="B250" s="118"/>
      <c r="C250" s="151"/>
      <c r="D250" s="115"/>
      <c r="E250" s="122" t="s">
        <v>773</v>
      </c>
      <c r="F250" s="180">
        <v>0.46</v>
      </c>
      <c r="G250" s="181"/>
      <c r="H250" s="181">
        <v>0.75</v>
      </c>
      <c r="I250" s="181"/>
      <c r="J250" s="181">
        <v>0.98</v>
      </c>
      <c r="K250" s="181"/>
      <c r="L250" s="181">
        <v>0.98</v>
      </c>
      <c r="M250" s="115"/>
    </row>
    <row r="251" spans="1:13" s="399" customFormat="1" outlineLevel="1">
      <c r="A251" s="126"/>
      <c r="B251" s="118"/>
      <c r="C251" s="151"/>
      <c r="D251" s="115"/>
      <c r="E251" s="179" t="s">
        <v>774</v>
      </c>
      <c r="F251" s="180">
        <v>0.21</v>
      </c>
      <c r="G251" s="181"/>
      <c r="H251" s="181">
        <v>0.5</v>
      </c>
      <c r="I251" s="181"/>
      <c r="J251" s="181">
        <v>0.74</v>
      </c>
      <c r="K251" s="181"/>
      <c r="L251" s="181">
        <v>0.98</v>
      </c>
      <c r="M251" s="115"/>
    </row>
    <row r="252" spans="1:13" s="399" customFormat="1" outlineLevel="1">
      <c r="A252" s="126"/>
      <c r="B252" s="118"/>
      <c r="C252" s="151"/>
      <c r="D252" s="115"/>
      <c r="E252" s="122" t="s">
        <v>775</v>
      </c>
      <c r="F252" s="180">
        <v>0.26</v>
      </c>
      <c r="G252" s="181"/>
      <c r="H252" s="181">
        <v>0.5</v>
      </c>
      <c r="I252" s="181"/>
      <c r="J252" s="181">
        <v>0.74</v>
      </c>
      <c r="K252" s="181"/>
      <c r="L252" s="181">
        <v>0.99</v>
      </c>
      <c r="M252" s="115"/>
    </row>
    <row r="253" spans="1:13" s="399" customFormat="1" outlineLevel="1">
      <c r="A253" s="126"/>
      <c r="B253" s="118"/>
      <c r="C253" s="151"/>
      <c r="D253" s="115"/>
      <c r="E253" s="402"/>
      <c r="F253" s="402"/>
      <c r="G253" s="402"/>
      <c r="H253" s="402"/>
      <c r="I253" s="402"/>
      <c r="J253" s="402"/>
      <c r="K253" s="402"/>
      <c r="L253" s="402"/>
      <c r="M253" s="115"/>
    </row>
    <row r="254" spans="1:13" s="399" customFormat="1" ht="15" outlineLevel="1" thickBot="1">
      <c r="A254" s="126"/>
      <c r="B254" s="118"/>
      <c r="C254" s="151"/>
      <c r="D254" s="115"/>
      <c r="E254" s="615" t="s">
        <v>900</v>
      </c>
      <c r="F254" s="615"/>
      <c r="G254" s="615"/>
      <c r="H254" s="615"/>
      <c r="I254" s="615"/>
      <c r="J254" s="615"/>
      <c r="K254" s="615"/>
      <c r="L254" s="615"/>
      <c r="M254" s="115"/>
    </row>
    <row r="255" spans="1:13" s="399" customFormat="1" outlineLevel="1">
      <c r="A255" s="126"/>
      <c r="B255" s="118"/>
      <c r="C255" s="151"/>
      <c r="D255" s="115"/>
      <c r="E255" s="227" t="s">
        <v>121</v>
      </c>
      <c r="F255" s="228">
        <v>2020</v>
      </c>
      <c r="G255" s="228">
        <v>2025</v>
      </c>
      <c r="H255" s="228">
        <v>2030</v>
      </c>
      <c r="I255" s="228">
        <v>2035</v>
      </c>
      <c r="J255" s="228">
        <v>2040</v>
      </c>
      <c r="K255" s="228">
        <v>2045</v>
      </c>
      <c r="L255" s="229">
        <v>2050</v>
      </c>
      <c r="M255" s="115"/>
    </row>
    <row r="256" spans="1:13" s="399" customFormat="1" outlineLevel="1">
      <c r="A256" s="126"/>
      <c r="B256" s="118"/>
      <c r="C256" s="151"/>
      <c r="D256" s="115"/>
      <c r="E256" s="122" t="s">
        <v>863</v>
      </c>
      <c r="F256" s="180">
        <v>0.64</v>
      </c>
      <c r="G256" s="181"/>
      <c r="H256" s="181">
        <v>0.74561163625966664</v>
      </c>
      <c r="I256" s="181"/>
      <c r="J256" s="181">
        <v>0.83342141060747543</v>
      </c>
      <c r="K256" s="181"/>
      <c r="L256" s="181">
        <v>0.95169329111252798</v>
      </c>
      <c r="M256" s="115"/>
    </row>
    <row r="257" spans="1:13" s="399" customFormat="1" outlineLevel="1">
      <c r="A257" s="126"/>
      <c r="B257" s="118"/>
      <c r="C257" s="151"/>
      <c r="D257" s="115"/>
      <c r="E257" s="122" t="s">
        <v>864</v>
      </c>
      <c r="F257" s="180">
        <v>0.55176919304714811</v>
      </c>
      <c r="G257" s="181"/>
      <c r="H257" s="181">
        <v>0.65803049601027597</v>
      </c>
      <c r="I257" s="181"/>
      <c r="J257" s="181">
        <v>0.79007168328931565</v>
      </c>
      <c r="K257" s="181"/>
      <c r="L257" s="181">
        <v>0.94738018274747127</v>
      </c>
      <c r="M257" s="115"/>
    </row>
    <row r="258" spans="1:13" s="399" customFormat="1" outlineLevel="1">
      <c r="A258" s="126"/>
      <c r="B258" s="118"/>
      <c r="C258" s="151"/>
      <c r="D258" s="115"/>
      <c r="E258" s="122" t="s">
        <v>865</v>
      </c>
      <c r="F258" s="180">
        <v>0.41745265457331937</v>
      </c>
      <c r="G258" s="181"/>
      <c r="H258" s="181">
        <v>0.53108286690033679</v>
      </c>
      <c r="I258" s="181"/>
      <c r="J258" s="181">
        <v>0.69397345295988366</v>
      </c>
      <c r="K258" s="181"/>
      <c r="L258" s="181">
        <v>0.91210104856825147</v>
      </c>
      <c r="M258" s="115"/>
    </row>
    <row r="259" spans="1:13" s="399" customFormat="1" outlineLevel="1">
      <c r="A259" s="126"/>
      <c r="B259" s="118"/>
      <c r="C259" s="151"/>
      <c r="D259" s="115"/>
      <c r="E259" s="179" t="s">
        <v>866</v>
      </c>
      <c r="F259" s="180">
        <v>0.46256223021394904</v>
      </c>
      <c r="G259" s="181"/>
      <c r="H259" s="181">
        <v>0.56905805560277067</v>
      </c>
      <c r="I259" s="181"/>
      <c r="J259" s="181">
        <v>0.72511899937529134</v>
      </c>
      <c r="K259" s="181"/>
      <c r="L259" s="181">
        <v>0.94962285257523105</v>
      </c>
      <c r="M259" s="115"/>
    </row>
    <row r="260" spans="1:13" s="399" customFormat="1" outlineLevel="1">
      <c r="A260" s="126"/>
      <c r="B260" s="118"/>
      <c r="C260" s="151"/>
      <c r="D260" s="115"/>
      <c r="E260" s="122" t="s">
        <v>867</v>
      </c>
      <c r="F260" s="180">
        <v>0.21017455937877239</v>
      </c>
      <c r="G260" s="181"/>
      <c r="H260" s="181">
        <v>0.3311288622532102</v>
      </c>
      <c r="I260" s="181"/>
      <c r="J260" s="181">
        <v>0.5503769918325766</v>
      </c>
      <c r="K260" s="181"/>
      <c r="L260" s="181">
        <v>0.94978364834216733</v>
      </c>
      <c r="M260" s="115"/>
    </row>
    <row r="261" spans="1:13" s="399" customFormat="1" outlineLevel="1">
      <c r="A261" s="126"/>
      <c r="B261" s="118"/>
      <c r="C261" s="151"/>
      <c r="D261" s="115"/>
      <c r="E261" s="122" t="s">
        <v>868</v>
      </c>
      <c r="F261" s="180">
        <v>6.7000000000000004E-2</v>
      </c>
      <c r="G261" s="181"/>
      <c r="H261" s="181">
        <v>0.35</v>
      </c>
      <c r="I261" s="181"/>
      <c r="J261" s="181">
        <v>0.65</v>
      </c>
      <c r="K261" s="181"/>
      <c r="L261" s="181">
        <v>0.9</v>
      </c>
      <c r="M261" s="115"/>
    </row>
    <row r="262" spans="1:13" s="399" customFormat="1" outlineLevel="1">
      <c r="A262" s="126"/>
      <c r="B262" s="118"/>
      <c r="C262" s="151"/>
      <c r="D262" s="115"/>
      <c r="E262" s="122" t="s">
        <v>869</v>
      </c>
      <c r="F262" s="180">
        <v>0.15523075128500144</v>
      </c>
      <c r="G262" s="181"/>
      <c r="H262" s="181">
        <v>0.27109693620385039</v>
      </c>
      <c r="I262" s="181"/>
      <c r="J262" s="181">
        <v>0.50091601221698745</v>
      </c>
      <c r="K262" s="181"/>
      <c r="L262" s="181">
        <v>0.9496968597865606</v>
      </c>
      <c r="M262" s="115"/>
    </row>
    <row r="263" spans="1:13" s="399" customFormat="1" outlineLevel="1">
      <c r="A263" s="126"/>
      <c r="B263" s="118"/>
      <c r="C263" s="151"/>
      <c r="D263" s="115"/>
      <c r="E263" s="179" t="s">
        <v>870</v>
      </c>
      <c r="F263" s="180">
        <v>0.14271082649478137</v>
      </c>
      <c r="G263" s="181"/>
      <c r="H263" s="181">
        <v>0.18825699184555564</v>
      </c>
      <c r="I263" s="181"/>
      <c r="J263" s="181">
        <v>0.34435117225329009</v>
      </c>
      <c r="K263" s="181"/>
      <c r="L263" s="181">
        <v>0.7999475073598985</v>
      </c>
      <c r="M263" s="115"/>
    </row>
    <row r="264" spans="1:13" s="399" customFormat="1" outlineLevel="1">
      <c r="A264" s="126"/>
      <c r="B264" s="118"/>
      <c r="C264" s="151"/>
      <c r="D264" s="115"/>
      <c r="E264" s="402"/>
      <c r="F264" s="402"/>
      <c r="G264" s="402"/>
      <c r="H264" s="402"/>
      <c r="I264" s="402"/>
      <c r="J264" s="402"/>
      <c r="K264" s="402"/>
      <c r="L264" s="402"/>
      <c r="M264" s="115"/>
    </row>
    <row r="265" spans="1:13" ht="15" outlineLevel="1" thickBot="1">
      <c r="A265" s="126"/>
      <c r="B265" s="118"/>
      <c r="C265" s="151" t="str">
        <f t="shared" si="11"/>
        <v>Consommation de climatisation dans le résidentiel (TWh)</v>
      </c>
      <c r="D265" s="115"/>
      <c r="E265" s="615" t="s">
        <v>761</v>
      </c>
      <c r="F265" s="615"/>
      <c r="G265" s="615"/>
      <c r="H265" s="615"/>
      <c r="I265" s="615"/>
      <c r="J265" s="615"/>
      <c r="K265" s="615"/>
      <c r="L265" s="615"/>
      <c r="M265" s="115"/>
    </row>
    <row r="266" spans="1:13" outlineLevel="2">
      <c r="A266" s="126"/>
      <c r="B266" s="118"/>
      <c r="C266" s="151" t="str">
        <f t="shared" si="11"/>
        <v>TWh par zone climatique</v>
      </c>
      <c r="D266" s="115"/>
      <c r="E266" s="227" t="s">
        <v>762</v>
      </c>
      <c r="F266" s="228">
        <v>2020</v>
      </c>
      <c r="G266" s="228">
        <v>2025</v>
      </c>
      <c r="H266" s="228">
        <v>2030</v>
      </c>
      <c r="I266" s="228">
        <v>2035</v>
      </c>
      <c r="J266" s="228">
        <v>2040</v>
      </c>
      <c r="K266" s="228">
        <v>2045</v>
      </c>
      <c r="L266" s="229">
        <v>2050</v>
      </c>
      <c r="M266" s="115"/>
    </row>
    <row r="267" spans="1:13" outlineLevel="2">
      <c r="A267" s="126"/>
      <c r="B267" s="118"/>
      <c r="C267" s="151" t="str">
        <f t="shared" si="11"/>
        <v>Total</v>
      </c>
      <c r="D267" s="115"/>
      <c r="E267" s="129" t="s">
        <v>144</v>
      </c>
      <c r="F267" s="132">
        <f>SUM(F268:F280)</f>
        <v>4.0178007048715498</v>
      </c>
      <c r="G267" s="133"/>
      <c r="H267" s="133">
        <f>SUM(H268:H280)</f>
        <v>9.0080019791946278</v>
      </c>
      <c r="I267" s="133"/>
      <c r="J267" s="133">
        <f>SUM(J268:J280)</f>
        <v>11.966744969495737</v>
      </c>
      <c r="K267" s="133"/>
      <c r="L267" s="133">
        <f>SUM(L268:L280)</f>
        <v>11.437394605996996</v>
      </c>
      <c r="M267" s="115"/>
    </row>
    <row r="268" spans="1:13" outlineLevel="2">
      <c r="A268" s="126"/>
      <c r="B268" s="118"/>
      <c r="C268" s="151" t="str">
        <f t="shared" si="11"/>
        <v>H1A</v>
      </c>
      <c r="D268" s="115"/>
      <c r="E268" s="122" t="s">
        <v>763</v>
      </c>
      <c r="F268" s="284">
        <v>0.12134899439184599</v>
      </c>
      <c r="G268" s="285"/>
      <c r="H268" s="285">
        <v>0.27130580018364114</v>
      </c>
      <c r="I268" s="285"/>
      <c r="J268" s="285">
        <v>0.5061966342067804</v>
      </c>
      <c r="K268" s="285"/>
      <c r="L268" s="285">
        <v>0.81892815492046145</v>
      </c>
      <c r="M268" s="115"/>
    </row>
    <row r="269" spans="1:13" outlineLevel="2">
      <c r="A269" s="126"/>
      <c r="B269" s="118"/>
      <c r="C269" s="151" t="str">
        <f t="shared" si="11"/>
        <v>H1B</v>
      </c>
      <c r="D269" s="115"/>
      <c r="E269" s="122" t="s">
        <v>764</v>
      </c>
      <c r="F269" s="284">
        <v>0.14737239487773041</v>
      </c>
      <c r="G269" s="285"/>
      <c r="H269" s="285">
        <v>0.31621207125207124</v>
      </c>
      <c r="I269" s="285"/>
      <c r="J269" s="285">
        <v>0.44357444092401849</v>
      </c>
      <c r="K269" s="285"/>
      <c r="L269" s="285">
        <v>0.48920849227021251</v>
      </c>
      <c r="M269" s="115"/>
    </row>
    <row r="270" spans="1:13" outlineLevel="2">
      <c r="A270" s="126"/>
      <c r="B270" s="118"/>
      <c r="C270" s="151" t="str">
        <f t="shared" si="11"/>
        <v>H1C</v>
      </c>
      <c r="D270" s="115"/>
      <c r="E270" s="122" t="s">
        <v>765</v>
      </c>
      <c r="F270" s="284">
        <v>0.46489803277501751</v>
      </c>
      <c r="G270" s="285"/>
      <c r="H270" s="285">
        <v>1.1019996625335986</v>
      </c>
      <c r="I270" s="285"/>
      <c r="J270" s="285">
        <v>1.5558352365437529</v>
      </c>
      <c r="K270" s="285"/>
      <c r="L270" s="285">
        <v>1.616129522798355</v>
      </c>
      <c r="M270" s="115"/>
    </row>
    <row r="271" spans="1:13" outlineLevel="2">
      <c r="A271" s="126"/>
      <c r="B271" s="118"/>
      <c r="C271" s="151" t="str">
        <f t="shared" si="11"/>
        <v>H2A</v>
      </c>
      <c r="D271" s="115"/>
      <c r="E271" s="179" t="s">
        <v>766</v>
      </c>
      <c r="F271" s="284">
        <v>9.908405433227737E-3</v>
      </c>
      <c r="G271" s="285"/>
      <c r="H271" s="285">
        <v>3.554959951945854E-2</v>
      </c>
      <c r="I271" s="285"/>
      <c r="J271" s="285">
        <v>3.631166567242456E-2</v>
      </c>
      <c r="K271" s="285"/>
      <c r="L271" s="285">
        <v>5.7566129218454512E-2</v>
      </c>
      <c r="M271" s="115"/>
    </row>
    <row r="272" spans="1:13" outlineLevel="2">
      <c r="A272" s="126"/>
      <c r="B272" s="118"/>
      <c r="C272" s="151" t="str">
        <f t="shared" si="11"/>
        <v>H2B</v>
      </c>
      <c r="D272" s="115"/>
      <c r="E272" s="122" t="s">
        <v>767</v>
      </c>
      <c r="F272" s="284">
        <v>0.10530697653232901</v>
      </c>
      <c r="G272" s="285"/>
      <c r="H272" s="285">
        <v>0.25622910137176519</v>
      </c>
      <c r="I272" s="285"/>
      <c r="J272" s="285">
        <v>0.36000127959993589</v>
      </c>
      <c r="K272" s="285"/>
      <c r="L272" s="285">
        <v>0.48858555824955896</v>
      </c>
      <c r="M272" s="115"/>
    </row>
    <row r="273" spans="1:13" outlineLevel="2">
      <c r="A273" s="126"/>
      <c r="B273" s="118"/>
      <c r="C273" s="151" t="str">
        <f t="shared" si="11"/>
        <v>H2C</v>
      </c>
      <c r="D273" s="115"/>
      <c r="E273" s="122" t="s">
        <v>768</v>
      </c>
      <c r="F273" s="284">
        <v>0.37792024780560696</v>
      </c>
      <c r="G273" s="285"/>
      <c r="H273" s="285">
        <v>0.93561637461374436</v>
      </c>
      <c r="I273" s="285"/>
      <c r="J273" s="285">
        <v>1.2764777259923863</v>
      </c>
      <c r="K273" s="285"/>
      <c r="L273" s="285">
        <v>1.017225099274828</v>
      </c>
      <c r="M273" s="115"/>
    </row>
    <row r="274" spans="1:13" outlineLevel="2">
      <c r="A274" s="126"/>
      <c r="B274" s="118"/>
      <c r="C274" s="151" t="str">
        <f t="shared" si="11"/>
        <v>H2D</v>
      </c>
      <c r="D274" s="115"/>
      <c r="E274" s="122" t="s">
        <v>769</v>
      </c>
      <c r="F274" s="284">
        <v>0.29313424398124993</v>
      </c>
      <c r="G274" s="285"/>
      <c r="H274" s="285">
        <v>0.71397963526273656</v>
      </c>
      <c r="I274" s="285"/>
      <c r="J274" s="285">
        <v>0.82940935960880824</v>
      </c>
      <c r="K274" s="285"/>
      <c r="L274" s="285">
        <v>0.7267116646324554</v>
      </c>
      <c r="M274" s="115"/>
    </row>
    <row r="275" spans="1:13" outlineLevel="2">
      <c r="A275" s="126"/>
      <c r="B275" s="118"/>
      <c r="C275" s="151" t="str">
        <f t="shared" si="11"/>
        <v>H3</v>
      </c>
      <c r="D275" s="115"/>
      <c r="E275" s="179" t="s">
        <v>770</v>
      </c>
      <c r="F275" s="284">
        <v>1.9774894632087108</v>
      </c>
      <c r="G275" s="285"/>
      <c r="H275" s="285">
        <v>4.4152236156029305</v>
      </c>
      <c r="I275" s="285"/>
      <c r="J275" s="285">
        <v>5.3777017664971094</v>
      </c>
      <c r="K275" s="285"/>
      <c r="L275" s="285">
        <v>3.9505566478622463</v>
      </c>
      <c r="M275" s="115"/>
    </row>
    <row r="276" spans="1:13" outlineLevel="2">
      <c r="A276" s="126"/>
      <c r="B276" s="118"/>
      <c r="C276" s="151" t="str">
        <f t="shared" si="11"/>
        <v>Martinique</v>
      </c>
      <c r="D276" s="115"/>
      <c r="E276" s="122" t="s">
        <v>771</v>
      </c>
      <c r="F276" s="284">
        <v>8.6002470791737215E-2</v>
      </c>
      <c r="G276" s="285"/>
      <c r="H276" s="285">
        <v>0.17207276965855317</v>
      </c>
      <c r="I276" s="285"/>
      <c r="J276" s="285">
        <v>0.27919498482074623</v>
      </c>
      <c r="K276" s="285"/>
      <c r="L276" s="285">
        <v>0.37689086569849412</v>
      </c>
      <c r="M276" s="115"/>
    </row>
    <row r="277" spans="1:13" outlineLevel="2">
      <c r="A277" s="126"/>
      <c r="B277" s="118"/>
      <c r="C277" s="151" t="str">
        <f t="shared" si="11"/>
        <v>Guadeloupe</v>
      </c>
      <c r="D277" s="115"/>
      <c r="E277" s="122" t="s">
        <v>772</v>
      </c>
      <c r="F277" s="284">
        <v>0.17489355991804087</v>
      </c>
      <c r="G277" s="285"/>
      <c r="H277" s="285">
        <v>0.26782006291197791</v>
      </c>
      <c r="I277" s="285"/>
      <c r="J277" s="285">
        <v>0.36675134778388585</v>
      </c>
      <c r="K277" s="285"/>
      <c r="L277" s="285">
        <v>0.40224786735552492</v>
      </c>
      <c r="M277" s="115"/>
    </row>
    <row r="278" spans="1:13" outlineLevel="2">
      <c r="A278" s="126"/>
      <c r="B278" s="118"/>
      <c r="C278" s="151" t="str">
        <f t="shared" si="11"/>
        <v>Guyane</v>
      </c>
      <c r="D278" s="115"/>
      <c r="E278" s="122" t="s">
        <v>773</v>
      </c>
      <c r="F278" s="284">
        <v>7.2254543569590005E-2</v>
      </c>
      <c r="G278" s="285"/>
      <c r="H278" s="285">
        <v>0.11547107732546949</v>
      </c>
      <c r="I278" s="285"/>
      <c r="J278" s="285">
        <v>0.16889308438213713</v>
      </c>
      <c r="K278" s="285"/>
      <c r="L278" s="285">
        <v>0.18887969632881008</v>
      </c>
      <c r="M278" s="115"/>
    </row>
    <row r="279" spans="1:13" outlineLevel="2">
      <c r="A279" s="126"/>
      <c r="B279" s="118"/>
      <c r="C279" s="151" t="str">
        <f t="shared" si="11"/>
        <v>Mayotte</v>
      </c>
      <c r="D279" s="115"/>
      <c r="E279" s="179" t="s">
        <v>774</v>
      </c>
      <c r="F279" s="284">
        <v>2.6375715011051761E-2</v>
      </c>
      <c r="G279" s="285"/>
      <c r="H279" s="285">
        <v>6.3083807615395837E-2</v>
      </c>
      <c r="I279" s="285"/>
      <c r="J279" s="285">
        <v>0.1036627129294008</v>
      </c>
      <c r="K279" s="285"/>
      <c r="L279" s="285">
        <v>0.15206857058753084</v>
      </c>
      <c r="M279" s="115"/>
    </row>
    <row r="280" spans="1:13" outlineLevel="2">
      <c r="A280" s="126"/>
      <c r="B280" s="118"/>
      <c r="C280" s="151" t="str">
        <f t="shared" si="11"/>
        <v>La Réunion</v>
      </c>
      <c r="D280" s="115"/>
      <c r="E280" s="122" t="s">
        <v>775</v>
      </c>
      <c r="F280" s="284">
        <v>0.16089565657541152</v>
      </c>
      <c r="G280" s="285"/>
      <c r="H280" s="285">
        <v>0.34343840134328407</v>
      </c>
      <c r="I280" s="285"/>
      <c r="J280" s="285">
        <v>0.66273473053435084</v>
      </c>
      <c r="K280" s="285"/>
      <c r="L280" s="285">
        <v>1.1523963368000649</v>
      </c>
      <c r="M280" s="115"/>
    </row>
    <row r="281" spans="1:13" outlineLevel="2">
      <c r="A281" s="126"/>
      <c r="B281" s="118"/>
      <c r="C281" s="151" t="str">
        <f t="shared" si="11"/>
        <v/>
      </c>
      <c r="D281" s="115"/>
      <c r="E281" s="610"/>
      <c r="F281" s="610"/>
      <c r="G281" s="610"/>
      <c r="H281" s="610"/>
      <c r="I281" s="610"/>
      <c r="J281" s="610"/>
      <c r="K281" s="610"/>
      <c r="L281" s="610"/>
      <c r="M281" s="115"/>
    </row>
    <row r="282" spans="1:13" outlineLevel="1">
      <c r="A282" s="126"/>
      <c r="B282" s="118"/>
      <c r="C282" s="151" t="str">
        <f t="shared" si="11"/>
        <v/>
      </c>
      <c r="D282" s="115"/>
      <c r="E282" s="288"/>
      <c r="F282" s="288"/>
      <c r="G282" s="288"/>
      <c r="H282" s="288"/>
      <c r="I282" s="288"/>
      <c r="J282" s="288"/>
      <c r="K282" s="288"/>
      <c r="L282" s="288"/>
      <c r="M282" s="115"/>
    </row>
    <row r="283" spans="1:13" ht="15" outlineLevel="1" thickBot="1">
      <c r="A283" s="126"/>
      <c r="B283" s="118"/>
      <c r="C283" s="151" t="str">
        <f t="shared" si="11"/>
        <v>Consommation de climatisation dans le tertiaire (TWh)</v>
      </c>
      <c r="D283" s="115"/>
      <c r="E283" s="627" t="s">
        <v>776</v>
      </c>
      <c r="F283" s="627"/>
      <c r="G283" s="627"/>
      <c r="H283" s="627"/>
      <c r="I283" s="627"/>
      <c r="J283" s="627"/>
      <c r="K283" s="627"/>
      <c r="L283" s="627"/>
      <c r="M283" s="115"/>
    </row>
    <row r="284" spans="1:13" outlineLevel="2">
      <c r="A284" s="126"/>
      <c r="B284" s="118"/>
      <c r="C284" s="151" t="str">
        <f t="shared" si="11"/>
        <v>TWh par zone climatique</v>
      </c>
      <c r="D284" s="115"/>
      <c r="E284" s="459" t="s">
        <v>762</v>
      </c>
      <c r="F284" s="323">
        <v>2020</v>
      </c>
      <c r="G284" s="323">
        <v>2025</v>
      </c>
      <c r="H284" s="323">
        <v>2030</v>
      </c>
      <c r="I284" s="323">
        <v>2035</v>
      </c>
      <c r="J284" s="323">
        <v>2040</v>
      </c>
      <c r="K284" s="323">
        <v>2045</v>
      </c>
      <c r="L284" s="324">
        <v>2050</v>
      </c>
      <c r="M284" s="115"/>
    </row>
    <row r="285" spans="1:13" outlineLevel="2">
      <c r="A285" s="126"/>
      <c r="B285" s="118"/>
      <c r="C285" s="151" t="str">
        <f t="shared" si="11"/>
        <v>Total</v>
      </c>
      <c r="D285" s="115"/>
      <c r="E285" s="325" t="s">
        <v>144</v>
      </c>
      <c r="F285" s="132">
        <v>11.5</v>
      </c>
      <c r="G285" s="133"/>
      <c r="H285" s="133">
        <v>13.4</v>
      </c>
      <c r="I285" s="133"/>
      <c r="J285" s="133">
        <v>17.399999999999999</v>
      </c>
      <c r="K285" s="133"/>
      <c r="L285" s="461">
        <v>22.8</v>
      </c>
      <c r="M285" s="115"/>
    </row>
    <row r="286" spans="1:13" outlineLevel="2">
      <c r="A286" s="126"/>
      <c r="B286" s="118"/>
      <c r="C286" s="151" t="str">
        <f t="shared" si="11"/>
        <v>H1A</v>
      </c>
      <c r="D286" s="115"/>
      <c r="E286" s="330" t="s">
        <v>763</v>
      </c>
      <c r="F286" s="284">
        <v>3.2</v>
      </c>
      <c r="G286" s="285"/>
      <c r="H286" s="285">
        <v>3.7</v>
      </c>
      <c r="I286" s="285"/>
      <c r="J286" s="285">
        <v>4.5</v>
      </c>
      <c r="K286" s="285"/>
      <c r="L286" s="473">
        <v>5.8</v>
      </c>
      <c r="M286" s="115"/>
    </row>
    <row r="287" spans="1:13" outlineLevel="2">
      <c r="A287" s="126"/>
      <c r="B287" s="118"/>
      <c r="C287" s="151" t="str">
        <f t="shared" si="11"/>
        <v>H1B</v>
      </c>
      <c r="D287" s="115"/>
      <c r="E287" s="330" t="s">
        <v>764</v>
      </c>
      <c r="F287" s="284">
        <v>0.9</v>
      </c>
      <c r="G287" s="285"/>
      <c r="H287" s="285">
        <v>1.1000000000000001</v>
      </c>
      <c r="I287" s="285"/>
      <c r="J287" s="285">
        <v>1.6</v>
      </c>
      <c r="K287" s="285"/>
      <c r="L287" s="473">
        <v>2.2999999999999998</v>
      </c>
      <c r="M287" s="115"/>
    </row>
    <row r="288" spans="1:13" outlineLevel="2">
      <c r="A288" s="126"/>
      <c r="B288" s="118"/>
      <c r="C288" s="151" t="str">
        <f t="shared" si="11"/>
        <v>H1C</v>
      </c>
      <c r="D288" s="115"/>
      <c r="E288" s="330" t="s">
        <v>765</v>
      </c>
      <c r="F288" s="284">
        <v>1.4</v>
      </c>
      <c r="G288" s="285"/>
      <c r="H288" s="285">
        <v>1.7</v>
      </c>
      <c r="I288" s="285"/>
      <c r="J288" s="285">
        <v>2.2999999999999998</v>
      </c>
      <c r="K288" s="285"/>
      <c r="L288" s="473">
        <v>3.2</v>
      </c>
      <c r="M288" s="115"/>
    </row>
    <row r="289" spans="1:13" outlineLevel="2">
      <c r="A289" s="126"/>
      <c r="B289" s="118"/>
      <c r="C289" s="151" t="str">
        <f t="shared" si="11"/>
        <v>H2A</v>
      </c>
      <c r="D289" s="115"/>
      <c r="E289" s="218" t="s">
        <v>766</v>
      </c>
      <c r="F289" s="284">
        <v>0.2</v>
      </c>
      <c r="G289" s="285"/>
      <c r="H289" s="285">
        <v>0.2</v>
      </c>
      <c r="I289" s="285"/>
      <c r="J289" s="285">
        <v>0.3</v>
      </c>
      <c r="K289" s="285"/>
      <c r="L289" s="473">
        <v>0.5</v>
      </c>
      <c r="M289" s="115"/>
    </row>
    <row r="290" spans="1:13" outlineLevel="2">
      <c r="A290" s="126"/>
      <c r="B290" s="118"/>
      <c r="C290" s="151" t="str">
        <f t="shared" si="11"/>
        <v>H2B</v>
      </c>
      <c r="D290" s="115"/>
      <c r="E290" s="330" t="s">
        <v>767</v>
      </c>
      <c r="F290" s="284">
        <v>1</v>
      </c>
      <c r="G290" s="285"/>
      <c r="H290" s="285">
        <v>1.2</v>
      </c>
      <c r="I290" s="285"/>
      <c r="J290" s="285">
        <v>1.5</v>
      </c>
      <c r="K290" s="285"/>
      <c r="L290" s="473">
        <v>2.1</v>
      </c>
      <c r="M290" s="115"/>
    </row>
    <row r="291" spans="1:13" outlineLevel="2">
      <c r="A291" s="126"/>
      <c r="B291" s="118"/>
      <c r="C291" s="151" t="str">
        <f t="shared" si="11"/>
        <v>H2C</v>
      </c>
      <c r="D291" s="115"/>
      <c r="E291" s="330" t="s">
        <v>768</v>
      </c>
      <c r="F291" s="284">
        <v>1.2</v>
      </c>
      <c r="G291" s="285"/>
      <c r="H291" s="285">
        <v>1.4</v>
      </c>
      <c r="I291" s="285"/>
      <c r="J291" s="285">
        <v>2</v>
      </c>
      <c r="K291" s="285"/>
      <c r="L291" s="473">
        <v>2.7</v>
      </c>
      <c r="M291" s="115"/>
    </row>
    <row r="292" spans="1:13" outlineLevel="2">
      <c r="A292" s="126"/>
      <c r="B292" s="118"/>
      <c r="C292" s="151" t="str">
        <f t="shared" si="11"/>
        <v>H2D</v>
      </c>
      <c r="D292" s="115"/>
      <c r="E292" s="330" t="s">
        <v>769</v>
      </c>
      <c r="F292" s="284">
        <v>0.4</v>
      </c>
      <c r="G292" s="285"/>
      <c r="H292" s="285">
        <v>0.4</v>
      </c>
      <c r="I292" s="285"/>
      <c r="J292" s="285">
        <v>0.6</v>
      </c>
      <c r="K292" s="285"/>
      <c r="L292" s="473">
        <v>0.7</v>
      </c>
      <c r="M292" s="115"/>
    </row>
    <row r="293" spans="1:13" outlineLevel="2">
      <c r="A293" s="126"/>
      <c r="B293" s="118"/>
      <c r="C293" s="151" t="str">
        <f t="shared" si="11"/>
        <v>H3</v>
      </c>
      <c r="D293" s="115"/>
      <c r="E293" s="218" t="s">
        <v>770</v>
      </c>
      <c r="F293" s="284">
        <v>2.2999999999999998</v>
      </c>
      <c r="G293" s="285"/>
      <c r="H293" s="285">
        <v>2.7</v>
      </c>
      <c r="I293" s="285"/>
      <c r="J293" s="285">
        <v>3.6</v>
      </c>
      <c r="K293" s="285"/>
      <c r="L293" s="473">
        <v>4.2</v>
      </c>
      <c r="M293" s="115"/>
    </row>
    <row r="294" spans="1:13" outlineLevel="2">
      <c r="A294" s="126"/>
      <c r="B294" s="118"/>
      <c r="C294" s="151" t="str">
        <f t="shared" si="11"/>
        <v>Martinique</v>
      </c>
      <c r="D294" s="115"/>
      <c r="E294" s="330" t="s">
        <v>771</v>
      </c>
      <c r="F294" s="284">
        <v>0.2</v>
      </c>
      <c r="G294" s="285"/>
      <c r="H294" s="285">
        <v>0.2</v>
      </c>
      <c r="I294" s="285"/>
      <c r="J294" s="285">
        <v>0.2</v>
      </c>
      <c r="K294" s="285"/>
      <c r="L294" s="473">
        <v>0.3</v>
      </c>
      <c r="M294" s="115"/>
    </row>
    <row r="295" spans="1:13" outlineLevel="2">
      <c r="A295" s="126"/>
      <c r="B295" s="118"/>
      <c r="C295" s="151" t="str">
        <f t="shared" si="11"/>
        <v>Guadeloupe</v>
      </c>
      <c r="D295" s="115"/>
      <c r="E295" s="330" t="s">
        <v>772</v>
      </c>
      <c r="F295" s="284">
        <v>0.2</v>
      </c>
      <c r="G295" s="285"/>
      <c r="H295" s="285">
        <v>0.2</v>
      </c>
      <c r="I295" s="285"/>
      <c r="J295" s="285">
        <v>0.2</v>
      </c>
      <c r="K295" s="285"/>
      <c r="L295" s="473">
        <v>0.3</v>
      </c>
      <c r="M295" s="115"/>
    </row>
    <row r="296" spans="1:13" outlineLevel="2">
      <c r="A296" s="126"/>
      <c r="B296" s="118"/>
      <c r="C296" s="151" t="str">
        <f t="shared" si="11"/>
        <v>Guyane</v>
      </c>
      <c r="D296" s="115"/>
      <c r="E296" s="330" t="s">
        <v>773</v>
      </c>
      <c r="F296" s="284">
        <v>0.1</v>
      </c>
      <c r="G296" s="285"/>
      <c r="H296" s="285">
        <v>0.1</v>
      </c>
      <c r="I296" s="285"/>
      <c r="J296" s="285">
        <v>0.2</v>
      </c>
      <c r="K296" s="285"/>
      <c r="L296" s="473">
        <v>0.2</v>
      </c>
      <c r="M296" s="115"/>
    </row>
    <row r="297" spans="1:13" outlineLevel="2">
      <c r="A297" s="126"/>
      <c r="B297" s="118"/>
      <c r="C297" s="151" t="str">
        <f t="shared" si="11"/>
        <v>Mayotte</v>
      </c>
      <c r="D297" s="115"/>
      <c r="E297" s="218" t="s">
        <v>774</v>
      </c>
      <c r="F297" s="284">
        <v>0</v>
      </c>
      <c r="G297" s="285"/>
      <c r="H297" s="285">
        <v>0</v>
      </c>
      <c r="I297" s="285"/>
      <c r="J297" s="285">
        <v>0</v>
      </c>
      <c r="K297" s="285"/>
      <c r="L297" s="473">
        <v>0</v>
      </c>
      <c r="M297" s="115"/>
    </row>
    <row r="298" spans="1:13" ht="15" outlineLevel="2" thickBot="1">
      <c r="A298" s="126"/>
      <c r="B298" s="118"/>
      <c r="C298" s="151" t="str">
        <f t="shared" si="11"/>
        <v>La Réunion</v>
      </c>
      <c r="D298" s="115"/>
      <c r="E298" s="332" t="s">
        <v>775</v>
      </c>
      <c r="F298" s="474">
        <v>0.4</v>
      </c>
      <c r="G298" s="475"/>
      <c r="H298" s="475">
        <v>0.4</v>
      </c>
      <c r="I298" s="475"/>
      <c r="J298" s="475">
        <v>0.5</v>
      </c>
      <c r="K298" s="475"/>
      <c r="L298" s="476">
        <v>0.6</v>
      </c>
      <c r="M298" s="115"/>
    </row>
    <row r="299" spans="1:13" outlineLevel="2">
      <c r="A299" s="126"/>
      <c r="B299" s="118"/>
      <c r="C299" s="151" t="str">
        <f t="shared" si="11"/>
        <v/>
      </c>
      <c r="D299" s="115"/>
      <c r="E299" s="610"/>
      <c r="F299" s="610"/>
      <c r="G299" s="610"/>
      <c r="H299" s="610"/>
      <c r="I299" s="610"/>
      <c r="J299" s="610"/>
      <c r="K299" s="610"/>
      <c r="L299" s="610"/>
      <c r="M299" s="115"/>
    </row>
    <row r="300" spans="1:13" outlineLevel="1">
      <c r="A300" s="126"/>
      <c r="B300" s="118"/>
      <c r="C300" s="151" t="str">
        <f t="shared" si="11"/>
        <v/>
      </c>
      <c r="D300" s="115"/>
      <c r="E300" s="627"/>
      <c r="F300" s="627"/>
      <c r="G300" s="627"/>
      <c r="H300" s="627"/>
      <c r="I300" s="627"/>
      <c r="J300" s="627"/>
      <c r="K300" s="627"/>
      <c r="L300" s="627"/>
      <c r="M300" s="115"/>
    </row>
    <row r="301" spans="1:13">
      <c r="A301" s="114"/>
      <c r="C301" s="151" t="str">
        <f t="shared" si="11"/>
        <v/>
      </c>
      <c r="D301" s="629"/>
      <c r="E301" s="629"/>
      <c r="F301" s="629"/>
      <c r="G301" s="629"/>
      <c r="H301" s="287"/>
      <c r="I301" s="287"/>
      <c r="J301" s="287"/>
    </row>
    <row r="302" spans="1:13" ht="28.8" thickBot="1">
      <c r="A302" s="366"/>
      <c r="C302" s="151" t="str">
        <f t="shared" si="11"/>
        <v>Résultats</v>
      </c>
      <c r="D302" s="371"/>
      <c r="E302" s="635" t="s">
        <v>137</v>
      </c>
      <c r="F302" s="635"/>
      <c r="G302" s="635"/>
      <c r="H302" s="635"/>
      <c r="I302" s="635"/>
      <c r="J302" s="635"/>
      <c r="K302" s="635"/>
      <c r="L302" s="635"/>
      <c r="M302" s="371"/>
    </row>
    <row r="303" spans="1:13" ht="15" thickTop="1">
      <c r="A303" s="366"/>
      <c r="C303" s="151" t="str">
        <f t="shared" si="11"/>
        <v/>
      </c>
      <c r="D303" s="3"/>
      <c r="E303" s="3"/>
      <c r="F303" s="3"/>
      <c r="G303" s="3"/>
      <c r="H303" s="3"/>
      <c r="I303" s="3"/>
      <c r="J303" s="3"/>
      <c r="K303" s="3"/>
      <c r="L303" s="3"/>
      <c r="M303" s="3"/>
    </row>
    <row r="304" spans="1:13" ht="15.6">
      <c r="A304" s="366"/>
      <c r="C304" s="151" t="str">
        <f t="shared" ref="C304:C361" si="12">IF(ISBLANK(E304),IF(ISBLANK(F304),"",F304),E304)</f>
        <v/>
      </c>
      <c r="D304" s="112"/>
      <c r="E304" s="113"/>
      <c r="F304" s="113"/>
      <c r="G304" s="113"/>
      <c r="H304" s="113"/>
      <c r="I304" s="113"/>
      <c r="J304" s="113"/>
      <c r="K304" s="113"/>
      <c r="L304" s="113"/>
      <c r="M304" s="3"/>
    </row>
    <row r="305" spans="1:13" ht="28.8" thickBot="1">
      <c r="A305" s="366"/>
      <c r="B305" s="374"/>
      <c r="C305" s="151" t="str">
        <f t="shared" si="12"/>
        <v>Consommations d'énergie</v>
      </c>
      <c r="D305" s="371"/>
      <c r="E305" s="372"/>
      <c r="F305" s="635" t="s">
        <v>141</v>
      </c>
      <c r="G305" s="635"/>
      <c r="H305" s="635"/>
      <c r="I305" s="635"/>
      <c r="J305" s="635"/>
      <c r="K305" s="635"/>
      <c r="L305" s="635"/>
      <c r="M305" s="635"/>
    </row>
    <row r="306" spans="1:13" ht="15" thickTop="1">
      <c r="A306" s="366"/>
      <c r="B306" s="374"/>
      <c r="C306" s="151" t="str">
        <f t="shared" si="12"/>
        <v/>
      </c>
    </row>
    <row r="307" spans="1:13" outlineLevel="1">
      <c r="A307" s="366"/>
      <c r="B307" s="374"/>
      <c r="C307" s="151" t="str">
        <f t="shared" si="12"/>
        <v/>
      </c>
      <c r="D307" s="115"/>
      <c r="E307" s="115"/>
      <c r="F307" s="115"/>
      <c r="G307" s="115"/>
      <c r="H307" s="115"/>
      <c r="I307" s="115"/>
      <c r="J307" s="115"/>
      <c r="K307" s="115"/>
      <c r="L307" s="115"/>
      <c r="M307" s="115"/>
    </row>
    <row r="308" spans="1:13" outlineLevel="1">
      <c r="A308" s="366"/>
      <c r="B308" s="374"/>
      <c r="C308" s="151" t="str">
        <f t="shared" si="12"/>
        <v/>
      </c>
      <c r="D308" s="115"/>
      <c r="E308" s="115"/>
      <c r="F308" s="115"/>
      <c r="G308" s="115"/>
      <c r="H308" s="115"/>
      <c r="I308" s="115"/>
      <c r="J308" s="115"/>
      <c r="K308" s="115"/>
      <c r="L308" s="115"/>
      <c r="M308" s="115"/>
    </row>
    <row r="309" spans="1:13" ht="15" outlineLevel="1" thickBot="1">
      <c r="A309" s="366"/>
      <c r="B309" s="374"/>
      <c r="C309" s="151" t="str">
        <f t="shared" si="12"/>
        <v>Evolution des consommations d'énergie totales du secteur résidentiel (TWh Ef/an)</v>
      </c>
      <c r="D309" s="115"/>
      <c r="E309" s="627" t="s">
        <v>854</v>
      </c>
      <c r="F309" s="627"/>
      <c r="G309" s="627"/>
      <c r="H309" s="627"/>
      <c r="I309" s="627"/>
      <c r="J309" s="627"/>
      <c r="K309" s="627"/>
      <c r="L309" s="627"/>
      <c r="M309" s="115"/>
    </row>
    <row r="310" spans="1:13" outlineLevel="2">
      <c r="A310" s="366"/>
      <c r="B310" s="374"/>
      <c r="C310" s="151" t="str">
        <f t="shared" si="12"/>
        <v>TWh EF/an PCI</v>
      </c>
      <c r="D310" s="115"/>
      <c r="E310" s="459" t="s">
        <v>1104</v>
      </c>
      <c r="F310" s="323">
        <v>2020</v>
      </c>
      <c r="G310" s="323">
        <v>2025</v>
      </c>
      <c r="H310" s="323">
        <v>2030</v>
      </c>
      <c r="I310" s="323">
        <v>2035</v>
      </c>
      <c r="J310" s="323">
        <v>2040</v>
      </c>
      <c r="K310" s="323">
        <v>2045</v>
      </c>
      <c r="L310" s="324">
        <v>2050</v>
      </c>
      <c r="M310" s="115"/>
    </row>
    <row r="311" spans="1:13" outlineLevel="2">
      <c r="A311" s="366"/>
      <c r="B311" s="374"/>
      <c r="C311" s="151" t="str">
        <f t="shared" si="12"/>
        <v>Total</v>
      </c>
      <c r="D311" s="115"/>
      <c r="E311" s="325" t="s">
        <v>144</v>
      </c>
      <c r="F311" s="319">
        <f>SUM(F312,F315:F320)</f>
        <v>436.21001594398655</v>
      </c>
      <c r="G311" s="320">
        <f t="shared" ref="G311:L311" si="13">SUM(G312,G315:G320)</f>
        <v>413.90017832818643</v>
      </c>
      <c r="H311" s="320">
        <f t="shared" si="13"/>
        <v>403.75430858790082</v>
      </c>
      <c r="I311" s="320">
        <f t="shared" si="13"/>
        <v>401.29217834691428</v>
      </c>
      <c r="J311" s="320">
        <f t="shared" si="13"/>
        <v>402.16893267338378</v>
      </c>
      <c r="K311" s="320">
        <f t="shared" si="13"/>
        <v>401.53200589793715</v>
      </c>
      <c r="L311" s="466">
        <f t="shared" si="13"/>
        <v>401.34823358216454</v>
      </c>
      <c r="M311" s="115"/>
    </row>
    <row r="312" spans="1:13" outlineLevel="2">
      <c r="A312" s="366"/>
      <c r="B312" s="374"/>
      <c r="C312" s="151" t="str">
        <f t="shared" si="12"/>
        <v>Gaz réseau</v>
      </c>
      <c r="D312" s="115"/>
      <c r="E312" s="218" t="s">
        <v>777</v>
      </c>
      <c r="F312" s="321">
        <v>115.35024620654801</v>
      </c>
      <c r="G312" s="282">
        <v>102.0203653634976</v>
      </c>
      <c r="H312" s="282">
        <v>95.209735134346488</v>
      </c>
      <c r="I312" s="282">
        <v>90.815408193550752</v>
      </c>
      <c r="J312" s="282">
        <v>84.207813638814372</v>
      </c>
      <c r="K312" s="282">
        <v>77.412010436277839</v>
      </c>
      <c r="L312" s="467">
        <v>71.544191632103193</v>
      </c>
      <c r="M312" s="115"/>
    </row>
    <row r="313" spans="1:13" outlineLevel="3">
      <c r="A313" s="366"/>
      <c r="B313" s="374"/>
      <c r="C313" s="151"/>
      <c r="D313" s="115"/>
      <c r="E313" s="468" t="s">
        <v>778</v>
      </c>
      <c r="F313" s="321">
        <v>115.23489596034146</v>
      </c>
      <c r="G313" s="282">
        <v>96.9768321956401</v>
      </c>
      <c r="H313" s="282">
        <v>88.485108109692632</v>
      </c>
      <c r="I313" s="282">
        <v>84.430214747387339</v>
      </c>
      <c r="J313" s="282">
        <v>78.315402165729125</v>
      </c>
      <c r="K313" s="282">
        <v>71.998607692071133</v>
      </c>
      <c r="L313" s="467">
        <v>66.900329788539182</v>
      </c>
      <c r="M313" s="115"/>
    </row>
    <row r="314" spans="1:13" ht="28.8" outlineLevel="3">
      <c r="A314" s="366"/>
      <c r="B314" s="374"/>
      <c r="C314" s="151"/>
      <c r="D314" s="115"/>
      <c r="E314" s="472" t="s">
        <v>779</v>
      </c>
      <c r="F314" s="321">
        <v>0.115350246206548</v>
      </c>
      <c r="G314" s="282">
        <v>5.0435331678575039</v>
      </c>
      <c r="H314" s="282">
        <v>6.7246270246538611</v>
      </c>
      <c r="I314" s="282">
        <v>6.3851934461634148</v>
      </c>
      <c r="J314" s="282">
        <v>5.8924114730852439</v>
      </c>
      <c r="K314" s="282">
        <v>5.4134027442066968</v>
      </c>
      <c r="L314" s="467">
        <v>4.6438618435640091</v>
      </c>
      <c r="M314" s="115"/>
    </row>
    <row r="315" spans="1:13" outlineLevel="2">
      <c r="A315" s="366"/>
      <c r="B315" s="374"/>
      <c r="C315" s="151" t="str">
        <f t="shared" si="12"/>
        <v>Produits pétroliers</v>
      </c>
      <c r="D315" s="115"/>
      <c r="E315" s="218" t="s">
        <v>280</v>
      </c>
      <c r="F315" s="321">
        <v>46.793819474796095</v>
      </c>
      <c r="G315" s="282">
        <v>29.815098255011655</v>
      </c>
      <c r="H315" s="282">
        <v>14.946354481201322</v>
      </c>
      <c r="I315" s="282">
        <v>5.616149758021578</v>
      </c>
      <c r="J315" s="282">
        <v>3.6599276079358867</v>
      </c>
      <c r="K315" s="282">
        <v>2.6610194084518186</v>
      </c>
      <c r="L315" s="467">
        <v>1.0711295353385755</v>
      </c>
      <c r="M315" s="115"/>
    </row>
    <row r="316" spans="1:13" outlineLevel="2">
      <c r="A316" s="366"/>
      <c r="B316" s="374"/>
      <c r="C316" s="151"/>
      <c r="D316" s="115"/>
      <c r="E316" s="218" t="s">
        <v>260</v>
      </c>
      <c r="F316" s="321">
        <v>152.47254783439035</v>
      </c>
      <c r="G316" s="282">
        <v>153.01042933380785</v>
      </c>
      <c r="H316" s="282">
        <v>158.30379117927296</v>
      </c>
      <c r="I316" s="282">
        <v>163.59219592258762</v>
      </c>
      <c r="J316" s="282">
        <v>168.07812983796481</v>
      </c>
      <c r="K316" s="282">
        <v>170.06600129734005</v>
      </c>
      <c r="L316" s="467">
        <v>171.79016469540574</v>
      </c>
      <c r="M316" s="115"/>
    </row>
    <row r="317" spans="1:13" outlineLevel="3">
      <c r="A317" s="366"/>
      <c r="B317" s="374"/>
      <c r="C317" s="151" t="str">
        <f t="shared" ref="C317:C321" si="14">IF(ISBLANK(E317),IF(ISBLANK(F317),"",F317),E317)</f>
        <v>Biomasse solide</v>
      </c>
      <c r="D317" s="115"/>
      <c r="E317" s="244" t="s">
        <v>197</v>
      </c>
      <c r="F317" s="321">
        <v>70.78539636494439</v>
      </c>
      <c r="G317" s="282">
        <v>67.540467929832246</v>
      </c>
      <c r="H317" s="282">
        <v>62.526172225314767</v>
      </c>
      <c r="I317" s="282">
        <v>58.91130700800597</v>
      </c>
      <c r="J317" s="282">
        <v>58.226786138016692</v>
      </c>
      <c r="K317" s="282">
        <v>58.55575756343373</v>
      </c>
      <c r="L317" s="467">
        <v>58.681979811046453</v>
      </c>
      <c r="M317" s="115"/>
    </row>
    <row r="318" spans="1:13" outlineLevel="3">
      <c r="A318" s="366"/>
      <c r="B318" s="374"/>
      <c r="C318" s="151" t="str">
        <f t="shared" si="14"/>
        <v>Réseau de chaleur</v>
      </c>
      <c r="D318" s="115"/>
      <c r="E318" s="244" t="s">
        <v>731</v>
      </c>
      <c r="F318" s="321">
        <v>14.437858492654737</v>
      </c>
      <c r="G318" s="282">
        <v>14.54940755663384</v>
      </c>
      <c r="H318" s="282">
        <v>13.821854221077654</v>
      </c>
      <c r="I318" s="282">
        <v>13.012970281318445</v>
      </c>
      <c r="J318" s="282">
        <v>12.637872540367553</v>
      </c>
      <c r="K318" s="282">
        <v>12.305368304004968</v>
      </c>
      <c r="L318" s="467">
        <v>12.080206519208174</v>
      </c>
      <c r="M318" s="115"/>
    </row>
    <row r="319" spans="1:13" outlineLevel="2">
      <c r="A319" s="366"/>
      <c r="B319" s="374"/>
      <c r="C319" s="151" t="str">
        <f t="shared" si="14"/>
        <v>Solaire thermique et géothermie</v>
      </c>
      <c r="D319" s="115"/>
      <c r="E319" s="218" t="s">
        <v>201</v>
      </c>
      <c r="F319" s="321">
        <v>1.016</v>
      </c>
      <c r="G319" s="282">
        <v>0.988009900990099</v>
      </c>
      <c r="H319" s="282">
        <v>1.2459628210841034</v>
      </c>
      <c r="I319" s="282">
        <v>1.2364643181818185</v>
      </c>
      <c r="J319" s="282">
        <v>1.2399141748337295</v>
      </c>
      <c r="K319" s="282">
        <v>1.2415240942585202</v>
      </c>
      <c r="L319" s="467">
        <v>1.2394844745178684</v>
      </c>
      <c r="M319" s="115"/>
    </row>
    <row r="320" spans="1:13" ht="15" outlineLevel="2" thickBot="1">
      <c r="A320" s="366"/>
      <c r="B320" s="374"/>
      <c r="C320" s="151" t="str">
        <f t="shared" si="14"/>
        <v>Chaleur de l'environnement</v>
      </c>
      <c r="D320" s="115"/>
      <c r="E320" s="222" t="s">
        <v>200</v>
      </c>
      <c r="F320" s="469">
        <v>35.354147570652927</v>
      </c>
      <c r="G320" s="470">
        <v>45.976399988413121</v>
      </c>
      <c r="H320" s="470">
        <v>57.700438525603467</v>
      </c>
      <c r="I320" s="470">
        <v>68.107682865247995</v>
      </c>
      <c r="J320" s="470">
        <v>74.118488735450768</v>
      </c>
      <c r="K320" s="470">
        <v>79.290324794170203</v>
      </c>
      <c r="L320" s="471">
        <v>84.941076914544482</v>
      </c>
      <c r="M320" s="115"/>
    </row>
    <row r="321" spans="1:13" ht="45.6" customHeight="1" outlineLevel="2">
      <c r="A321" s="366"/>
      <c r="B321" s="374"/>
      <c r="C321" s="151" t="str">
        <f t="shared" si="14"/>
        <v xml:space="preserve">Périmètre Kyoto, SDES bilans d'énergie 2022, Projections DGEC. Il peut exister des différences entre ces résultats de consommation et les consommations d'énergie en sortie de chaque modèle sectoriel en raison de corrections statistiques sur les années de référence sur les bilans SDES. </v>
      </c>
      <c r="D321" s="115"/>
      <c r="E321" s="646" t="s">
        <v>1099</v>
      </c>
      <c r="F321" s="646"/>
      <c r="G321" s="646"/>
      <c r="H321" s="646"/>
      <c r="I321" s="646"/>
      <c r="J321" s="646"/>
      <c r="K321" s="646"/>
      <c r="L321" s="646"/>
      <c r="M321" s="115"/>
    </row>
    <row r="322" spans="1:13" outlineLevel="1">
      <c r="A322" s="366"/>
      <c r="B322" s="374"/>
      <c r="C322" s="151" t="str">
        <f t="shared" si="12"/>
        <v/>
      </c>
      <c r="D322" s="115"/>
      <c r="E322" s="115"/>
      <c r="F322" s="115"/>
      <c r="G322" s="115"/>
      <c r="H322" s="115"/>
      <c r="I322" s="115"/>
      <c r="J322" s="115"/>
      <c r="K322" s="115"/>
      <c r="L322" s="115"/>
      <c r="M322" s="115"/>
    </row>
    <row r="323" spans="1:13" ht="15" outlineLevel="1" thickBot="1">
      <c r="A323" s="366"/>
      <c r="B323" s="374"/>
      <c r="C323" s="151" t="str">
        <f t="shared" si="12"/>
        <v>Evolution des consommations d'énergie totales du secteur tertiaire (TWh Ef/an)</v>
      </c>
      <c r="D323" s="115"/>
      <c r="E323" s="627" t="s">
        <v>855</v>
      </c>
      <c r="F323" s="627"/>
      <c r="G323" s="627"/>
      <c r="H323" s="627"/>
      <c r="I323" s="627"/>
      <c r="J323" s="627"/>
      <c r="K323" s="627"/>
      <c r="L323" s="627"/>
      <c r="M323" s="115"/>
    </row>
    <row r="324" spans="1:13" outlineLevel="2">
      <c r="A324" s="366"/>
      <c r="B324" s="374"/>
      <c r="C324" s="151" t="str">
        <f t="shared" si="12"/>
        <v>TWh EF/an PCI</v>
      </c>
      <c r="D324" s="115"/>
      <c r="E324" s="459" t="s">
        <v>1104</v>
      </c>
      <c r="F324" s="323">
        <v>2020</v>
      </c>
      <c r="G324" s="323">
        <v>2025</v>
      </c>
      <c r="H324" s="323">
        <v>2030</v>
      </c>
      <c r="I324" s="323">
        <v>2035</v>
      </c>
      <c r="J324" s="323">
        <v>2040</v>
      </c>
      <c r="K324" s="323">
        <v>2045</v>
      </c>
      <c r="L324" s="324">
        <v>2050</v>
      </c>
      <c r="M324" s="115"/>
    </row>
    <row r="325" spans="1:13" outlineLevel="2">
      <c r="A325" s="366"/>
      <c r="B325" s="374"/>
      <c r="C325" s="151" t="str">
        <f t="shared" si="12"/>
        <v>Total</v>
      </c>
      <c r="D325" s="115"/>
      <c r="E325" s="325" t="s">
        <v>144</v>
      </c>
      <c r="F325" s="319">
        <f>SUM(F326,F329:F334)</f>
        <v>242.24425187998739</v>
      </c>
      <c r="G325" s="320">
        <f t="shared" ref="G325:L325" si="15">SUM(G326,G329:G334)</f>
        <v>239.01273679281078</v>
      </c>
      <c r="H325" s="320">
        <f t="shared" si="15"/>
        <v>237.52464127097346</v>
      </c>
      <c r="I325" s="320">
        <f t="shared" si="15"/>
        <v>243.97352645520985</v>
      </c>
      <c r="J325" s="320">
        <f t="shared" si="15"/>
        <v>254.38234138374963</v>
      </c>
      <c r="K325" s="320">
        <f t="shared" si="15"/>
        <v>264.67832051567001</v>
      </c>
      <c r="L325" s="466">
        <f t="shared" si="15"/>
        <v>274.5983308965956</v>
      </c>
      <c r="M325" s="115"/>
    </row>
    <row r="326" spans="1:13" outlineLevel="2">
      <c r="A326" s="366"/>
      <c r="B326" s="374"/>
      <c r="C326" s="151" t="str">
        <f t="shared" si="12"/>
        <v>Gaz réseau</v>
      </c>
      <c r="D326" s="115"/>
      <c r="E326" s="218" t="s">
        <v>777</v>
      </c>
      <c r="F326" s="321">
        <v>67.305033131781116</v>
      </c>
      <c r="G326" s="282">
        <v>61.117450302328287</v>
      </c>
      <c r="H326" s="282">
        <v>54.702821398408865</v>
      </c>
      <c r="I326" s="282">
        <v>52.417856809065775</v>
      </c>
      <c r="J326" s="282">
        <v>50.329306049365577</v>
      </c>
      <c r="K326" s="282">
        <v>47.84108327661928</v>
      </c>
      <c r="L326" s="467">
        <v>45.316139381931023</v>
      </c>
      <c r="M326" s="115"/>
    </row>
    <row r="327" spans="1:13" outlineLevel="3">
      <c r="A327" s="366"/>
      <c r="B327" s="374"/>
      <c r="C327" s="151"/>
      <c r="D327" s="115"/>
      <c r="E327" s="468" t="s">
        <v>778</v>
      </c>
      <c r="F327" s="321">
        <v>67.237728098649328</v>
      </c>
      <c r="G327" s="282">
        <v>58.096015448253894</v>
      </c>
      <c r="H327" s="282">
        <v>50.839182133143737</v>
      </c>
      <c r="I327" s="282">
        <v>48.732379174633387</v>
      </c>
      <c r="J327" s="282">
        <v>46.807530960064305</v>
      </c>
      <c r="K327" s="282">
        <v>44.495568155181431</v>
      </c>
      <c r="L327" s="467">
        <v>42.374714148482042</v>
      </c>
      <c r="M327" s="115"/>
    </row>
    <row r="328" spans="1:13" outlineLevel="3">
      <c r="A328" s="366"/>
      <c r="B328" s="374"/>
      <c r="C328" s="151"/>
      <c r="D328" s="115"/>
      <c r="E328" s="468" t="s">
        <v>781</v>
      </c>
      <c r="F328" s="321">
        <v>6.7305033131781114E-2</v>
      </c>
      <c r="G328" s="282">
        <v>3.0214348540743901</v>
      </c>
      <c r="H328" s="282">
        <v>3.8636392652651268</v>
      </c>
      <c r="I328" s="282">
        <v>3.6854776344323881</v>
      </c>
      <c r="J328" s="282">
        <v>3.5217750893012711</v>
      </c>
      <c r="K328" s="282">
        <v>3.3455151214378467</v>
      </c>
      <c r="L328" s="467">
        <v>2.9414252334489817</v>
      </c>
      <c r="M328" s="115"/>
    </row>
    <row r="329" spans="1:13" outlineLevel="2">
      <c r="A329" s="366"/>
      <c r="B329" s="374"/>
      <c r="C329" s="151" t="str">
        <f t="shared" ref="C329" si="16">IF(ISBLANK(E329),IF(ISBLANK(F329),"",F329),E329)</f>
        <v>Produits pétroliers</v>
      </c>
      <c r="D329" s="115"/>
      <c r="E329" s="218" t="s">
        <v>280</v>
      </c>
      <c r="F329" s="321">
        <v>25.236121325184282</v>
      </c>
      <c r="G329" s="282">
        <v>21.920818012223581</v>
      </c>
      <c r="H329" s="282">
        <v>18.570317431302918</v>
      </c>
      <c r="I329" s="282">
        <v>16.962710505277816</v>
      </c>
      <c r="J329" s="282">
        <v>15.407551181701972</v>
      </c>
      <c r="K329" s="282">
        <v>13.904654017042567</v>
      </c>
      <c r="L329" s="467">
        <v>12.39789274466774</v>
      </c>
      <c r="M329" s="115"/>
    </row>
    <row r="330" spans="1:13" outlineLevel="2">
      <c r="A330" s="366"/>
      <c r="B330" s="374"/>
      <c r="C330" s="151"/>
      <c r="D330" s="115"/>
      <c r="E330" s="218" t="s">
        <v>260</v>
      </c>
      <c r="F330" s="321">
        <v>129.23494539396606</v>
      </c>
      <c r="G330" s="282">
        <v>131.19758190905091</v>
      </c>
      <c r="H330" s="282">
        <v>135.0259585356055</v>
      </c>
      <c r="I330" s="282">
        <v>142.58364300023837</v>
      </c>
      <c r="J330" s="282">
        <v>153.7841912120623</v>
      </c>
      <c r="K330" s="282">
        <v>166.34665353567155</v>
      </c>
      <c r="L330" s="467">
        <v>178.52080744129242</v>
      </c>
      <c r="M330" s="115"/>
    </row>
    <row r="331" spans="1:13" outlineLevel="3">
      <c r="A331" s="366"/>
      <c r="B331" s="374"/>
      <c r="C331" s="151" t="str">
        <f t="shared" ref="C331:C335" si="17">IF(ISBLANK(E331),IF(ISBLANK(F331),"",F331),E331)</f>
        <v>Biomasse solide</v>
      </c>
      <c r="D331" s="115"/>
      <c r="E331" s="244" t="s">
        <v>197</v>
      </c>
      <c r="F331" s="321">
        <v>0.2146153499104517</v>
      </c>
      <c r="G331" s="282">
        <v>0.22864252759486806</v>
      </c>
      <c r="H331" s="282">
        <v>0.23724512306614243</v>
      </c>
      <c r="I331" s="282">
        <v>0.24119868519935778</v>
      </c>
      <c r="J331" s="282">
        <v>0.24732146287410545</v>
      </c>
      <c r="K331" s="282">
        <v>0.25118495925289969</v>
      </c>
      <c r="L331" s="467">
        <v>0.25394555941252195</v>
      </c>
      <c r="M331" s="115"/>
    </row>
    <row r="332" spans="1:13" outlineLevel="3">
      <c r="A332" s="366"/>
      <c r="B332" s="374"/>
      <c r="C332" s="151" t="str">
        <f t="shared" si="17"/>
        <v>Réseau de chaleur</v>
      </c>
      <c r="D332" s="115"/>
      <c r="E332" s="244" t="s">
        <v>731</v>
      </c>
      <c r="F332" s="321">
        <v>9.7596733842979333</v>
      </c>
      <c r="G332" s="282">
        <v>9.6604899235531008</v>
      </c>
      <c r="H332" s="282">
        <v>9.5394292720354823</v>
      </c>
      <c r="I332" s="282">
        <v>9.2954491806436774</v>
      </c>
      <c r="J332" s="282">
        <v>9.0507655828821711</v>
      </c>
      <c r="K332" s="282">
        <v>8.5971904174677753</v>
      </c>
      <c r="L332" s="467">
        <v>8.1439847838984178</v>
      </c>
      <c r="M332" s="115"/>
    </row>
    <row r="333" spans="1:13" outlineLevel="2">
      <c r="A333" s="366"/>
      <c r="B333" s="374"/>
      <c r="C333" s="151" t="str">
        <f t="shared" si="17"/>
        <v>Solaire thermique et géothermie</v>
      </c>
      <c r="D333" s="115"/>
      <c r="E333" s="218" t="s">
        <v>201</v>
      </c>
      <c r="F333" s="321">
        <v>1.2946736683610476</v>
      </c>
      <c r="G333" s="282">
        <v>1.2983034799447348</v>
      </c>
      <c r="H333" s="282">
        <v>1.3019332915284221</v>
      </c>
      <c r="I333" s="282">
        <v>1.3399694516307576</v>
      </c>
      <c r="J333" s="282">
        <v>1.3780056117330932</v>
      </c>
      <c r="K333" s="282">
        <v>1.3936271060685566</v>
      </c>
      <c r="L333" s="467">
        <v>1.4092486004040201</v>
      </c>
      <c r="M333" s="115"/>
    </row>
    <row r="334" spans="1:13" ht="15" outlineLevel="2" thickBot="1">
      <c r="A334" s="366"/>
      <c r="B334" s="374"/>
      <c r="C334" s="151" t="str">
        <f t="shared" si="17"/>
        <v>Chaleur de l'environnement</v>
      </c>
      <c r="D334" s="115"/>
      <c r="E334" s="222" t="s">
        <v>200</v>
      </c>
      <c r="F334" s="469">
        <v>9.1991896264864756</v>
      </c>
      <c r="G334" s="470">
        <v>13.589450638115297</v>
      </c>
      <c r="H334" s="470">
        <v>18.146936219026159</v>
      </c>
      <c r="I334" s="470">
        <v>21.132698823154065</v>
      </c>
      <c r="J334" s="470">
        <v>24.185200283130396</v>
      </c>
      <c r="K334" s="470">
        <v>26.343927203547384</v>
      </c>
      <c r="L334" s="471">
        <v>28.55631238498944</v>
      </c>
      <c r="M334" s="115"/>
    </row>
    <row r="335" spans="1:13" ht="45" customHeight="1" outlineLevel="2">
      <c r="A335" s="366"/>
      <c r="B335" s="374"/>
      <c r="C335" s="151" t="str">
        <f t="shared" si="17"/>
        <v xml:space="preserve">Périmètre Kyoto, SDES bilans d'énergie 2022, Projections DGEC. Il peut exister des différences entre ces résultats de consommation et les consommations d'énergie en sortie de chaque modèle sectoriel en raison de corrections statistiques sur les années de référence sur les bilans SDES. </v>
      </c>
      <c r="D335" s="115"/>
      <c r="E335" s="646" t="s">
        <v>1099</v>
      </c>
      <c r="F335" s="646"/>
      <c r="G335" s="646"/>
      <c r="H335" s="646"/>
      <c r="I335" s="646"/>
      <c r="J335" s="646"/>
      <c r="K335" s="646"/>
      <c r="L335" s="646"/>
      <c r="M335" s="115"/>
    </row>
    <row r="336" spans="1:13" outlineLevel="1">
      <c r="A336" s="366"/>
      <c r="B336" s="374"/>
      <c r="C336" s="151" t="str">
        <f t="shared" si="12"/>
        <v/>
      </c>
      <c r="D336" s="115"/>
      <c r="E336" s="115"/>
      <c r="F336" s="115"/>
      <c r="G336" s="115"/>
      <c r="H336" s="115"/>
      <c r="I336" s="115"/>
      <c r="J336" s="115"/>
      <c r="K336" s="115"/>
      <c r="L336" s="115"/>
      <c r="M336" s="115"/>
    </row>
    <row r="337" spans="1:13">
      <c r="A337" s="366"/>
      <c r="B337" s="374"/>
      <c r="C337" s="151" t="str">
        <f t="shared" si="12"/>
        <v/>
      </c>
      <c r="D337" s="629"/>
      <c r="E337" s="629"/>
      <c r="F337" s="629"/>
    </row>
    <row r="338" spans="1:13" ht="28.8" thickBot="1">
      <c r="A338" s="366"/>
      <c r="B338" s="374"/>
      <c r="C338" s="151" t="str">
        <f t="shared" si="12"/>
        <v>Emissions de gaz à effet de serre</v>
      </c>
      <c r="D338" s="371"/>
      <c r="E338" s="372"/>
      <c r="F338" s="635" t="s">
        <v>142</v>
      </c>
      <c r="G338" s="635"/>
      <c r="H338" s="635"/>
      <c r="I338" s="635"/>
      <c r="J338" s="635"/>
      <c r="K338" s="635"/>
      <c r="L338" s="635"/>
      <c r="M338" s="635"/>
    </row>
    <row r="339" spans="1:13" ht="15" thickTop="1">
      <c r="A339" s="366"/>
      <c r="B339" s="374"/>
      <c r="C339" s="151" t="str">
        <f t="shared" si="12"/>
        <v/>
      </c>
      <c r="D339" s="287"/>
      <c r="E339" s="287"/>
      <c r="F339" s="287"/>
    </row>
    <row r="340" spans="1:13" outlineLevel="1">
      <c r="A340" s="366"/>
      <c r="B340" s="374"/>
      <c r="C340" s="151" t="str">
        <f t="shared" si="12"/>
        <v/>
      </c>
      <c r="D340" s="115"/>
      <c r="E340" s="115"/>
      <c r="F340" s="115"/>
      <c r="G340" s="115"/>
      <c r="H340" s="115"/>
      <c r="I340" s="115"/>
      <c r="J340" s="115"/>
      <c r="K340" s="115"/>
      <c r="L340" s="115"/>
      <c r="M340" s="115"/>
    </row>
    <row r="341" spans="1:13" ht="19.2" outlineLevel="1">
      <c r="A341" s="366"/>
      <c r="B341" s="374"/>
      <c r="C341" s="151" t="str">
        <f t="shared" si="12"/>
        <v xml:space="preserve">Commentaire
IGCE = 
Diffus = </v>
      </c>
      <c r="D341" s="115"/>
      <c r="E341" s="611" t="s">
        <v>140</v>
      </c>
      <c r="F341" s="612"/>
      <c r="G341" s="612"/>
      <c r="H341" s="612"/>
      <c r="I341" s="612"/>
      <c r="J341" s="612"/>
      <c r="K341" s="612"/>
      <c r="L341" s="612"/>
      <c r="M341" s="115"/>
    </row>
    <row r="342" spans="1:13" ht="20.399999999999999" customHeight="1" outlineLevel="1">
      <c r="A342" s="366"/>
      <c r="B342" s="374"/>
      <c r="C342" s="151" t="str">
        <f t="shared" si="12"/>
        <v>Les émissions de gaz à effet de serre sont calculées par le CITEPA à partir des sorties sectorielles</v>
      </c>
      <c r="D342" s="115"/>
      <c r="E342" s="647" t="s">
        <v>305</v>
      </c>
      <c r="F342" s="648"/>
      <c r="G342" s="648"/>
      <c r="H342" s="648"/>
      <c r="I342" s="648"/>
      <c r="J342" s="648"/>
      <c r="K342" s="648"/>
      <c r="L342" s="648"/>
      <c r="M342" s="115"/>
    </row>
    <row r="343" spans="1:13" outlineLevel="1">
      <c r="A343" s="366"/>
      <c r="B343" s="374"/>
      <c r="C343" s="151" t="str">
        <f t="shared" si="12"/>
        <v/>
      </c>
      <c r="D343" s="115"/>
      <c r="E343" s="115"/>
      <c r="F343" s="115"/>
      <c r="G343" s="115"/>
      <c r="H343" s="115"/>
      <c r="I343" s="115"/>
      <c r="J343" s="115"/>
      <c r="K343" s="115"/>
      <c r="L343" s="115"/>
      <c r="M343" s="115"/>
    </row>
    <row r="344" spans="1:13" ht="15" outlineLevel="1" thickBot="1">
      <c r="A344" s="366"/>
      <c r="B344" s="374"/>
      <c r="C344" s="151" t="str">
        <f t="shared" si="12"/>
        <v>Emissions de gaz à effet de serre des secteurs résidentiel et tertiaire</v>
      </c>
      <c r="D344" s="115"/>
      <c r="E344" s="627" t="s">
        <v>875</v>
      </c>
      <c r="F344" s="627"/>
      <c r="G344" s="627"/>
      <c r="H344" s="627"/>
      <c r="I344" s="627"/>
      <c r="J344" s="627"/>
      <c r="K344" s="627"/>
      <c r="L344" s="627"/>
      <c r="M344" s="115"/>
    </row>
    <row r="345" spans="1:13" outlineLevel="2">
      <c r="A345" s="366"/>
      <c r="B345" s="374"/>
      <c r="C345" s="151" t="str">
        <f t="shared" si="12"/>
        <v>MtCO2e</v>
      </c>
      <c r="D345" s="115"/>
      <c r="E345" s="459" t="s">
        <v>302</v>
      </c>
      <c r="F345" s="323">
        <v>2021</v>
      </c>
      <c r="G345" s="323">
        <v>2025</v>
      </c>
      <c r="H345" s="323">
        <v>2030</v>
      </c>
      <c r="I345" s="323">
        <v>2035</v>
      </c>
      <c r="J345" s="323">
        <v>2040</v>
      </c>
      <c r="K345" s="323">
        <v>2045</v>
      </c>
      <c r="L345" s="324">
        <v>2050</v>
      </c>
      <c r="M345" s="115"/>
    </row>
    <row r="346" spans="1:13" ht="28.8" outlineLevel="2">
      <c r="A346" s="366"/>
      <c r="B346" s="374"/>
      <c r="C346" s="151" t="str">
        <f t="shared" si="12"/>
        <v>Usage des bâtiments résidentiels et activités domestiques</v>
      </c>
      <c r="D346" s="116"/>
      <c r="E346" s="460" t="s">
        <v>782</v>
      </c>
      <c r="F346" s="132">
        <f>SUM(F347:F353)</f>
        <v>46.2188883784005</v>
      </c>
      <c r="G346" s="133">
        <f t="shared" ref="G346:K346" si="18">SUM(G347:G353)</f>
        <v>32.89114377425927</v>
      </c>
      <c r="H346" s="133">
        <f t="shared" si="18"/>
        <v>26.698689847004033</v>
      </c>
      <c r="I346" s="133">
        <f t="shared" si="18"/>
        <v>22.898183102550593</v>
      </c>
      <c r="J346" s="133">
        <f t="shared" si="18"/>
        <v>20.693555093480555</v>
      </c>
      <c r="K346" s="133">
        <f t="shared" si="18"/>
        <v>18.978882549318151</v>
      </c>
      <c r="L346" s="461">
        <f>SUM(L347:L353)</f>
        <v>17.467193982450986</v>
      </c>
      <c r="M346" s="115"/>
    </row>
    <row r="347" spans="1:13" ht="24.6" outlineLevel="3">
      <c r="A347" s="366"/>
      <c r="B347" s="374"/>
      <c r="C347" s="151" t="str">
        <f t="shared" si="12"/>
        <v>Chauffage, eau chaude sanitaire et cuisson domestique</v>
      </c>
      <c r="D347" s="117"/>
      <c r="E347" s="462" t="s">
        <v>23</v>
      </c>
      <c r="F347" s="135">
        <f>GES!AG78</f>
        <v>41.913117130740758</v>
      </c>
      <c r="G347" s="136">
        <f>GES!AJ78</f>
        <v>28.592592034574945</v>
      </c>
      <c r="H347" s="136">
        <f>GES!AL78</f>
        <v>22.779563894267337</v>
      </c>
      <c r="I347" s="136">
        <f>GES!AN78</f>
        <v>19.439462704252378</v>
      </c>
      <c r="J347" s="136">
        <f>GES!AP78</f>
        <v>17.62555670901725</v>
      </c>
      <c r="K347" s="136">
        <f>GES!AQ78</f>
        <v>16.085259292458002</v>
      </c>
      <c r="L347" s="463">
        <f>GES!AR78</f>
        <v>14.639156632101839</v>
      </c>
      <c r="M347" s="115"/>
    </row>
    <row r="348" spans="1:13" outlineLevel="3">
      <c r="A348" s="366"/>
      <c r="B348" s="374"/>
      <c r="C348" s="151"/>
      <c r="D348" s="117"/>
      <c r="E348" s="462" t="s">
        <v>22</v>
      </c>
      <c r="F348" s="135">
        <f>GES!AG79</f>
        <v>1.1106995884370772</v>
      </c>
      <c r="G348" s="136">
        <f>GES!AJ79</f>
        <v>1.1659703416024019</v>
      </c>
      <c r="H348" s="136">
        <f>GES!AL79</f>
        <v>0.9437083931268021</v>
      </c>
      <c r="I348" s="136">
        <f>GES!AN79</f>
        <v>0.6079362148082661</v>
      </c>
      <c r="J348" s="136">
        <f>GES!AP79</f>
        <v>0.22917035301983021</v>
      </c>
      <c r="K348" s="136">
        <f>GES!AQ79</f>
        <v>6.1107316761720584E-2</v>
      </c>
      <c r="L348" s="463">
        <f>GES!AR79</f>
        <v>1.5938790694968123E-2</v>
      </c>
      <c r="M348" s="115"/>
    </row>
    <row r="349" spans="1:13" outlineLevel="3">
      <c r="A349" s="366"/>
      <c r="B349" s="374"/>
      <c r="C349" s="151"/>
      <c r="D349" s="117"/>
      <c r="E349" s="462" t="s">
        <v>53</v>
      </c>
      <c r="F349" s="135">
        <f>GES!AG80</f>
        <v>7.2023056237160391E-2</v>
      </c>
      <c r="G349" s="136">
        <f>GES!AJ80</f>
        <v>5.6601098342020623E-2</v>
      </c>
      <c r="H349" s="136">
        <f>GES!AL80</f>
        <v>3.2577564691991773E-2</v>
      </c>
      <c r="I349" s="136">
        <f>GES!AN80</f>
        <v>2.2734586510005988E-3</v>
      </c>
      <c r="J349" s="136">
        <f>GES!AP80</f>
        <v>0</v>
      </c>
      <c r="K349" s="136">
        <f>GES!AQ80</f>
        <v>0</v>
      </c>
      <c r="L349" s="463">
        <f>GES!AR80</f>
        <v>0</v>
      </c>
      <c r="M349" s="115"/>
    </row>
    <row r="350" spans="1:13" ht="24.6" outlineLevel="3">
      <c r="A350" s="366"/>
      <c r="B350" s="374"/>
      <c r="C350" s="151"/>
      <c r="D350" s="117"/>
      <c r="E350" s="462" t="s">
        <v>54</v>
      </c>
      <c r="F350" s="135">
        <f>GES!AG81</f>
        <v>0.89130083754846146</v>
      </c>
      <c r="G350" s="136">
        <f>GES!AJ81</f>
        <v>0.87606510837377827</v>
      </c>
      <c r="H350" s="136">
        <f>GES!AL81</f>
        <v>0.86031551223849378</v>
      </c>
      <c r="I350" s="136">
        <f>GES!AN81</f>
        <v>0.8458792662098904</v>
      </c>
      <c r="J350" s="136">
        <f>GES!AP81</f>
        <v>0.8458629526735143</v>
      </c>
      <c r="K350" s="136">
        <f>GES!AQ81</f>
        <v>0.84542296522626326</v>
      </c>
      <c r="L350" s="463">
        <f>GES!AR81</f>
        <v>0.84282965048788694</v>
      </c>
      <c r="M350" s="115"/>
    </row>
    <row r="351" spans="1:13" outlineLevel="3">
      <c r="A351" s="366"/>
      <c r="B351" s="374"/>
      <c r="C351" s="151"/>
      <c r="D351" s="117"/>
      <c r="E351" s="462" t="s">
        <v>55</v>
      </c>
      <c r="F351" s="135">
        <f>GES!AG82</f>
        <v>0.32255354239065359</v>
      </c>
      <c r="G351" s="136">
        <f>GES!AJ82</f>
        <v>0.25801843966622884</v>
      </c>
      <c r="H351" s="136">
        <f>GES!AL82</f>
        <v>0.12934503951499404</v>
      </c>
      <c r="I351" s="136">
        <f>GES!AN82</f>
        <v>4.8601892407080051E-2</v>
      </c>
      <c r="J351" s="136">
        <f>GES!AP82</f>
        <v>3.1672839130497836E-2</v>
      </c>
      <c r="K351" s="136">
        <f>GES!AQ82</f>
        <v>2.3028335168235766E-2</v>
      </c>
      <c r="L351" s="463">
        <f>GES!AR82</f>
        <v>9.1206967514779469E-3</v>
      </c>
      <c r="M351" s="115"/>
    </row>
    <row r="352" spans="1:13" ht="24.6" outlineLevel="3">
      <c r="A352" s="366"/>
      <c r="B352" s="374"/>
      <c r="C352" s="151"/>
      <c r="D352" s="117"/>
      <c r="E352" s="462" t="s">
        <v>56</v>
      </c>
      <c r="F352" s="135">
        <f>GES!AG83</f>
        <v>1.9091942230463925</v>
      </c>
      <c r="G352" s="136">
        <f>GES!AJ83</f>
        <v>1.9418967516998877</v>
      </c>
      <c r="H352" s="136">
        <f>GES!AL83</f>
        <v>1.9531794431644141</v>
      </c>
      <c r="I352" s="136">
        <f>GES!AN83</f>
        <v>1.9540295662219755</v>
      </c>
      <c r="J352" s="136">
        <f>GES!AP83</f>
        <v>1.9612922396394628</v>
      </c>
      <c r="K352" s="136">
        <f>GES!AQ83</f>
        <v>1.9640646397039299</v>
      </c>
      <c r="L352" s="463">
        <f>GES!AR83</f>
        <v>1.9601482124148142</v>
      </c>
      <c r="M352" s="115"/>
    </row>
    <row r="353" spans="1:13" ht="24.6" outlineLevel="3">
      <c r="A353" s="366"/>
      <c r="B353" s="374"/>
      <c r="C353" s="151"/>
      <c r="D353" s="117"/>
      <c r="E353" s="462" t="s">
        <v>57</v>
      </c>
      <c r="F353" s="135">
        <f>GES!AG84</f>
        <v>0</v>
      </c>
      <c r="G353" s="136">
        <f>GES!AJ84</f>
        <v>0</v>
      </c>
      <c r="H353" s="136">
        <f>GES!AL84</f>
        <v>0</v>
      </c>
      <c r="I353" s="136">
        <f>GES!AN84</f>
        <v>0</v>
      </c>
      <c r="J353" s="136">
        <f>GES!AP84</f>
        <v>0</v>
      </c>
      <c r="K353" s="136">
        <f>GES!AQ84</f>
        <v>0</v>
      </c>
      <c r="L353" s="463">
        <f>GES!AR84</f>
        <v>0</v>
      </c>
      <c r="M353" s="115"/>
    </row>
    <row r="354" spans="1:13" ht="28.8" outlineLevel="2">
      <c r="A354" s="366"/>
      <c r="B354" s="374"/>
      <c r="C354" s="151"/>
      <c r="D354" s="117"/>
      <c r="E354" s="460" t="s">
        <v>783</v>
      </c>
      <c r="F354" s="132">
        <f t="shared" ref="F354:L354" si="19">SUM(F355,F356:F359)</f>
        <v>28.148957398573085</v>
      </c>
      <c r="G354" s="133">
        <f t="shared" si="19"/>
        <v>19.970864135134551</v>
      </c>
      <c r="H354" s="133">
        <f t="shared" si="19"/>
        <v>16.971549341868936</v>
      </c>
      <c r="I354" s="133">
        <f t="shared" si="19"/>
        <v>15.476345447128597</v>
      </c>
      <c r="J354" s="133">
        <f t="shared" si="19"/>
        <v>14.139103909334715</v>
      </c>
      <c r="K354" s="133">
        <f t="shared" si="19"/>
        <v>13.106553700956903</v>
      </c>
      <c r="L354" s="461">
        <f t="shared" si="19"/>
        <v>12.146207129156837</v>
      </c>
      <c r="M354" s="115"/>
    </row>
    <row r="355" spans="1:13" ht="21.6" outlineLevel="3">
      <c r="A355" s="366"/>
      <c r="B355" s="374"/>
      <c r="C355" s="151"/>
      <c r="D355" s="117"/>
      <c r="E355" s="464" t="s">
        <v>59</v>
      </c>
      <c r="F355" s="135">
        <f>GES!AG86</f>
        <v>21.84371942695649</v>
      </c>
      <c r="G355" s="136">
        <f>GES!AJ86</f>
        <v>16.094174024415704</v>
      </c>
      <c r="H355" s="136">
        <f>GES!AL86</f>
        <v>13.952537223380645</v>
      </c>
      <c r="I355" s="136">
        <f>GES!AN86</f>
        <v>13.202200734708359</v>
      </c>
      <c r="J355" s="136">
        <f>GES!AP86</f>
        <v>12.498702952690552</v>
      </c>
      <c r="K355" s="136">
        <f>GES!AQ86</f>
        <v>11.836084395715133</v>
      </c>
      <c r="L355" s="463">
        <f>GES!AR86</f>
        <v>11.103355778523786</v>
      </c>
      <c r="M355" s="115"/>
    </row>
    <row r="356" spans="1:13" outlineLevel="3">
      <c r="A356" s="366"/>
      <c r="B356" s="374"/>
      <c r="C356" s="151"/>
      <c r="D356" s="117"/>
      <c r="E356" s="464" t="s">
        <v>60</v>
      </c>
      <c r="F356" s="135">
        <f>GES!AG87</f>
        <v>1.3466386185143715</v>
      </c>
      <c r="G356" s="136">
        <f>GES!AJ87</f>
        <v>1.0267534558639504</v>
      </c>
      <c r="H356" s="136">
        <f>GES!AL87</f>
        <v>0.81422726450389771</v>
      </c>
      <c r="I356" s="136">
        <f>GES!AN87</f>
        <v>0.54665927419899163</v>
      </c>
      <c r="J356" s="136">
        <f>GES!AP87</f>
        <v>0.25758005965203684</v>
      </c>
      <c r="K356" s="136">
        <f>GES!AQ87</f>
        <v>0.10691177262906856</v>
      </c>
      <c r="L356" s="463">
        <f>GES!AR87</f>
        <v>5.2133823414963691E-2</v>
      </c>
      <c r="M356" s="115"/>
    </row>
    <row r="357" spans="1:13" outlineLevel="3">
      <c r="A357" s="366"/>
      <c r="B357" s="374"/>
      <c r="C357" s="151"/>
      <c r="D357" s="117"/>
      <c r="E357" s="464" t="s">
        <v>21</v>
      </c>
      <c r="F357" s="135">
        <f>GES!AG88</f>
        <v>2.7451117032099592</v>
      </c>
      <c r="G357" s="136">
        <f>GES!AJ88</f>
        <v>1.3643107012723523</v>
      </c>
      <c r="H357" s="136">
        <f>GES!AL88</f>
        <v>0.94748698923202213</v>
      </c>
      <c r="I357" s="136">
        <f>GES!AN88</f>
        <v>0.62148087134357399</v>
      </c>
      <c r="J357" s="136">
        <f>GES!AP88</f>
        <v>0.40048587731394336</v>
      </c>
      <c r="K357" s="136">
        <f>GES!AQ88</f>
        <v>0.27339474634454214</v>
      </c>
      <c r="L357" s="463">
        <f>GES!AR88</f>
        <v>0.19474952654683431</v>
      </c>
      <c r="M357" s="115"/>
    </row>
    <row r="358" spans="1:13" ht="21.6" outlineLevel="3">
      <c r="A358" s="366"/>
      <c r="B358" s="374"/>
      <c r="C358" s="151"/>
      <c r="D358" s="117"/>
      <c r="E358" s="464" t="s">
        <v>61</v>
      </c>
      <c r="F358" s="135">
        <f>GES!AG89</f>
        <v>0.26423246141145706</v>
      </c>
      <c r="G358" s="136">
        <f>GES!AJ89</f>
        <v>0.18100021820652124</v>
      </c>
      <c r="H358" s="136">
        <f>GES!AL89</f>
        <v>0.16965236217104798</v>
      </c>
      <c r="I358" s="136">
        <f>GES!AN89</f>
        <v>0.16061182949266412</v>
      </c>
      <c r="J358" s="136">
        <f>GES!AP89</f>
        <v>0.1588494946071301</v>
      </c>
      <c r="K358" s="136">
        <f>GES!AQ89</f>
        <v>0.15739333525930815</v>
      </c>
      <c r="L358" s="463">
        <f>GES!AR89</f>
        <v>0.15576417733475734</v>
      </c>
      <c r="M358" s="115"/>
    </row>
    <row r="359" spans="1:13" ht="22.2" outlineLevel="3" thickBot="1">
      <c r="A359" s="366"/>
      <c r="B359" s="374"/>
      <c r="C359" s="151"/>
      <c r="D359" s="117"/>
      <c r="E359" s="465" t="s">
        <v>62</v>
      </c>
      <c r="F359" s="416">
        <f>GES!AG90</f>
        <v>1.9492551884808058</v>
      </c>
      <c r="G359" s="417">
        <f>GES!AJ90</f>
        <v>1.304625735376024</v>
      </c>
      <c r="H359" s="417">
        <f>GES!AL90</f>
        <v>1.0876455025813239</v>
      </c>
      <c r="I359" s="417">
        <f>GES!AN90</f>
        <v>0.94539273738500851</v>
      </c>
      <c r="J359" s="417">
        <f>GES!AP90</f>
        <v>0.82348552507105155</v>
      </c>
      <c r="K359" s="417">
        <f>GES!AQ90</f>
        <v>0.73276945100885349</v>
      </c>
      <c r="L359" s="418">
        <f>GES!AR90</f>
        <v>0.64020382333649439</v>
      </c>
      <c r="M359" s="115"/>
    </row>
    <row r="360" spans="1:13" outlineLevel="2">
      <c r="A360" s="366"/>
      <c r="B360" s="374"/>
      <c r="C360" s="151" t="str">
        <f t="shared" si="12"/>
        <v>Source SECTEN 2024, projections CITEPA, , périmètre Kyoto</v>
      </c>
      <c r="D360" s="115"/>
      <c r="E360" s="610" t="s">
        <v>964</v>
      </c>
      <c r="F360" s="610"/>
      <c r="G360" s="610"/>
      <c r="H360" s="610"/>
      <c r="I360" s="610"/>
      <c r="J360" s="610"/>
      <c r="K360" s="610"/>
      <c r="L360" s="610"/>
      <c r="M360" s="115"/>
    </row>
    <row r="361" spans="1:13" outlineLevel="1">
      <c r="A361" s="366"/>
      <c r="B361" s="374"/>
      <c r="C361" s="151" t="str">
        <f t="shared" si="12"/>
        <v/>
      </c>
      <c r="D361" s="115"/>
      <c r="E361" s="115"/>
      <c r="F361" s="115"/>
      <c r="G361" s="115"/>
      <c r="H361" s="115"/>
      <c r="I361" s="115"/>
      <c r="J361" s="115"/>
      <c r="K361" s="115"/>
      <c r="L361" s="115"/>
      <c r="M361" s="115"/>
    </row>
  </sheetData>
  <mergeCells count="78">
    <mergeCell ref="E360:L360"/>
    <mergeCell ref="F305:M305"/>
    <mergeCell ref="E309:L309"/>
    <mergeCell ref="E321:L321"/>
    <mergeCell ref="E323:L323"/>
    <mergeCell ref="E335:L335"/>
    <mergeCell ref="D337:F337"/>
    <mergeCell ref="F338:M338"/>
    <mergeCell ref="E341:L341"/>
    <mergeCell ref="E342:L342"/>
    <mergeCell ref="E344:L344"/>
    <mergeCell ref="E283:L283"/>
    <mergeCell ref="E238:L238"/>
    <mergeCell ref="E254:L254"/>
    <mergeCell ref="F191:M191"/>
    <mergeCell ref="E134:L134"/>
    <mergeCell ref="E136:L136"/>
    <mergeCell ref="E148:L148"/>
    <mergeCell ref="F158:M158"/>
    <mergeCell ref="E161:L161"/>
    <mergeCell ref="E162:L162"/>
    <mergeCell ref="E164:L164"/>
    <mergeCell ref="E174:L174"/>
    <mergeCell ref="E176:L176"/>
    <mergeCell ref="E188:L188"/>
    <mergeCell ref="E150:L150"/>
    <mergeCell ref="E302:L302"/>
    <mergeCell ref="E227:L227"/>
    <mergeCell ref="E195:L195"/>
    <mergeCell ref="E202:L202"/>
    <mergeCell ref="E204:L204"/>
    <mergeCell ref="E214:L214"/>
    <mergeCell ref="F217:M217"/>
    <mergeCell ref="E221:L221"/>
    <mergeCell ref="E225:L225"/>
    <mergeCell ref="E299:L299"/>
    <mergeCell ref="E300:L300"/>
    <mergeCell ref="D301:G301"/>
    <mergeCell ref="E233:L233"/>
    <mergeCell ref="F235:M235"/>
    <mergeCell ref="E265:L265"/>
    <mergeCell ref="E281:L281"/>
    <mergeCell ref="O3:Q3"/>
    <mergeCell ref="R3:T3"/>
    <mergeCell ref="E39:L39"/>
    <mergeCell ref="F5:G5"/>
    <mergeCell ref="H5:I5"/>
    <mergeCell ref="J5:K5"/>
    <mergeCell ref="L5:M5"/>
    <mergeCell ref="E8:L8"/>
    <mergeCell ref="F11:M11"/>
    <mergeCell ref="E14:L14"/>
    <mergeCell ref="E26:L26"/>
    <mergeCell ref="E28:L28"/>
    <mergeCell ref="F4:G4"/>
    <mergeCell ref="H4:I4"/>
    <mergeCell ref="J4:K4"/>
    <mergeCell ref="L4:M4"/>
    <mergeCell ref="E44:L44"/>
    <mergeCell ref="E1:M1"/>
    <mergeCell ref="E3:I3"/>
    <mergeCell ref="J3:M3"/>
    <mergeCell ref="E41:L41"/>
    <mergeCell ref="E123:L123"/>
    <mergeCell ref="E46:L46"/>
    <mergeCell ref="E56:L56"/>
    <mergeCell ref="E70:L70"/>
    <mergeCell ref="E80:L80"/>
    <mergeCell ref="F82:M82"/>
    <mergeCell ref="E85:L85"/>
    <mergeCell ref="E86:L86"/>
    <mergeCell ref="E89:L89"/>
    <mergeCell ref="E94:L94"/>
    <mergeCell ref="E97:L97"/>
    <mergeCell ref="E92:L93"/>
    <mergeCell ref="E58:L58"/>
    <mergeCell ref="E99:L99"/>
    <mergeCell ref="E111:L11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Spinner 1">
              <controlPr defaultSize="0" autoPict="0">
                <anchor moveWithCells="1" sizeWithCells="1">
                  <from>
                    <xdr:col>13</xdr:col>
                    <xdr:colOff>617220</xdr:colOff>
                    <xdr:row>3</xdr:row>
                    <xdr:rowOff>0</xdr:rowOff>
                  </from>
                  <to>
                    <xdr:col>13</xdr:col>
                    <xdr:colOff>861060</xdr:colOff>
                    <xdr:row>5</xdr:row>
                    <xdr:rowOff>0</xdr:rowOff>
                  </to>
                </anchor>
              </controlPr>
            </control>
          </mc:Choice>
        </mc:AlternateContent>
        <mc:AlternateContent xmlns:mc="http://schemas.openxmlformats.org/markup-compatibility/2006">
          <mc:Choice Requires="x14">
            <control shapeId="73730" r:id="rId5" name="Spinner 2">
              <controlPr defaultSize="0" autoPict="0">
                <anchor moveWithCells="1" sizeWithCells="1">
                  <from>
                    <xdr:col>3</xdr:col>
                    <xdr:colOff>236220</xdr:colOff>
                    <xdr:row>3</xdr:row>
                    <xdr:rowOff>0</xdr:rowOff>
                  </from>
                  <to>
                    <xdr:col>3</xdr:col>
                    <xdr:colOff>480060</xdr:colOff>
                    <xdr:row>4</xdr:row>
                    <xdr:rowOff>327660</xdr:rowOff>
                  </to>
                </anchor>
              </controlPr>
            </control>
          </mc:Choice>
        </mc:AlternateContent>
      </controls>
    </mc:Choice>
  </mc:AlternateContent>
  <tableParts count="2">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A5C2D3BB858F40A15FCF1AAD71451D" ma:contentTypeVersion="2" ma:contentTypeDescription="Crée un document." ma:contentTypeScope="" ma:versionID="8a38837c1ebfecbfe71575907bed78f8">
  <xsd:schema xmlns:xsd="http://www.w3.org/2001/XMLSchema" xmlns:xs="http://www.w3.org/2001/XMLSchema" xmlns:p="http://schemas.microsoft.com/office/2006/metadata/properties" xmlns:ns2="1f00af46-f5d5-48a3-a990-ac6ff05f15fa" targetNamespace="http://schemas.microsoft.com/office/2006/metadata/properties" ma:root="true" ma:fieldsID="1a41af4c2a3e40126f3070a9c70020d8" ns2:_="">
    <xsd:import namespace="1f00af46-f5d5-48a3-a990-ac6ff05f15f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00af46-f5d5-48a3-a990-ac6ff05f15f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6467AD-B40F-46EC-82BF-14BE424AAD3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2E8E1F-DAAA-4002-A0A4-11C04B77F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00af46-f5d5-48a3-a990-ac6ff05f15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299E71-9C59-432F-BFB1-03C7513371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Notice d'utilisation et FAQ</vt:lpstr>
      <vt:lpstr>&gt;&gt;&gt; Hypothèses sectorielles</vt:lpstr>
      <vt:lpstr>Cadrage</vt:lpstr>
      <vt:lpstr>Moteur</vt:lpstr>
      <vt:lpstr>Industrie</vt:lpstr>
      <vt:lpstr>Agriculture</vt:lpstr>
      <vt:lpstr>Energie</vt:lpstr>
      <vt:lpstr>Transports</vt:lpstr>
      <vt:lpstr>Bâtiments</vt:lpstr>
      <vt:lpstr>Déchets</vt:lpstr>
      <vt:lpstr>UTCATF</vt:lpstr>
      <vt:lpstr>DROM</vt:lpstr>
      <vt:lpstr>&gt;&gt;&gt; Résultats</vt:lpstr>
      <vt:lpstr>Bilans</vt:lpstr>
      <vt:lpstr>GES</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ROUX Maxime</dc:creator>
  <cp:lastModifiedBy>samuel.laval</cp:lastModifiedBy>
  <dcterms:created xsi:type="dcterms:W3CDTF">2024-01-12T15:52:03Z</dcterms:created>
  <dcterms:modified xsi:type="dcterms:W3CDTF">2026-05-13T16:56:53Z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0x01010009A5C2D3BB858F40A15FCF1AAD71451D</vt:lpwstr>
  </property>
</Properties>
</file>