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5_Atténuation et politique climat\52_Leviers\524_Entreprises\SNBC et SGPE\Versions à jour\"/>
    </mc:Choice>
  </mc:AlternateContent>
  <bookViews>
    <workbookView xWindow="0" yWindow="0" windowWidth="9552" windowHeight="2244"/>
  </bookViews>
  <sheets>
    <sheet name="Notice d'utilisation et FAQ" sheetId="25" r:id="rId1"/>
    <sheet name="Choix années" sheetId="18" r:id="rId2"/>
    <sheet name="Scope 1" sheetId="21" r:id="rId3"/>
    <sheet name="Scope 2" sheetId="22" r:id="rId4"/>
    <sheet name="Scope 3" sheetId="26" r:id="rId5"/>
    <sheet name="Leviers" sheetId="24" r:id="rId6"/>
    <sheet name="Bâtiment" sheetId="9" r:id="rId7"/>
    <sheet name="Transport" sheetId="10" r:id="rId8"/>
    <sheet name="Agriculture" sheetId="11" r:id="rId9"/>
    <sheet name="Industrie" sheetId="12" r:id="rId10"/>
    <sheet name="Déchets" sheetId="13" r:id="rId11"/>
    <sheet name="Energie" sheetId="14" r:id="rId12"/>
    <sheet name="UTCATF" sheetId="16" r:id="rId13"/>
    <sheet name="Résultats détaillés GES" sheetId="17" r:id="rId14"/>
    <sheet name="Résultats détaillés CH4" sheetId="27" r:id="rId15"/>
    <sheet name="Résultats détaillés N2O" sheetId="28" r:id="rId16"/>
    <sheet name="Résultats détaillés Gaz F" sheetId="29" r:id="rId17"/>
  </sheets>
  <definedNames>
    <definedName name="_xlnm._FilterDatabase" localSheetId="5" hidden="1">Leviers!$B$2:$D$66</definedName>
    <definedName name="_xlnm._FilterDatabase" localSheetId="2" hidden="1">'Scope 1'!$B$2:$D$63</definedName>
    <definedName name="_xlnm._FilterDatabase" localSheetId="3" hidden="1">'Scope 2'!$B$2:$E$4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24" l="1"/>
  <c r="E87" i="26"/>
  <c r="AK35" i="27"/>
  <c r="AN35" i="27"/>
  <c r="AP35" i="27"/>
  <c r="AI35" i="27"/>
  <c r="AP157" i="17"/>
  <c r="AI35" i="29"/>
  <c r="AO128" i="29"/>
  <c r="AM128" i="29"/>
  <c r="AL128" i="29"/>
  <c r="AJ128" i="29"/>
  <c r="AO127" i="29"/>
  <c r="AM127" i="29"/>
  <c r="AL127" i="29"/>
  <c r="AJ127" i="29"/>
  <c r="AO126" i="29"/>
  <c r="AM126" i="29"/>
  <c r="AL126" i="29"/>
  <c r="AJ126" i="29"/>
  <c r="AO125" i="29"/>
  <c r="AM125" i="29"/>
  <c r="AL125" i="29"/>
  <c r="AJ125" i="29"/>
  <c r="AO121" i="29"/>
  <c r="AM121" i="29"/>
  <c r="AL121" i="29"/>
  <c r="AJ121" i="29"/>
  <c r="AO120" i="29"/>
  <c r="AM120" i="29"/>
  <c r="AL120" i="29"/>
  <c r="AJ120" i="29"/>
  <c r="AO119" i="29"/>
  <c r="AM119" i="29"/>
  <c r="AL119" i="29"/>
  <c r="AJ119" i="29"/>
  <c r="AO118" i="29"/>
  <c r="AM118" i="29"/>
  <c r="AL118" i="29"/>
  <c r="AJ118" i="29"/>
  <c r="AO117" i="29"/>
  <c r="AM117" i="29"/>
  <c r="AL117" i="29"/>
  <c r="AJ117" i="29"/>
  <c r="AO115" i="29"/>
  <c r="AM115" i="29"/>
  <c r="AL115" i="29"/>
  <c r="AJ115" i="29"/>
  <c r="AO114" i="29"/>
  <c r="AM114" i="29"/>
  <c r="AL114" i="29"/>
  <c r="AJ114" i="29"/>
  <c r="AO113" i="29"/>
  <c r="AM113" i="29"/>
  <c r="AL113" i="29"/>
  <c r="AJ113" i="29"/>
  <c r="AO107" i="29"/>
  <c r="AM107" i="29"/>
  <c r="AL107" i="29"/>
  <c r="AJ107" i="29"/>
  <c r="AO106" i="29"/>
  <c r="AM106" i="29"/>
  <c r="AL106" i="29"/>
  <c r="AJ106" i="29"/>
  <c r="AO105" i="29"/>
  <c r="AM105" i="29"/>
  <c r="AL105" i="29"/>
  <c r="AJ105" i="29"/>
  <c r="AO104" i="29"/>
  <c r="AM104" i="29"/>
  <c r="AL104" i="29"/>
  <c r="AJ104" i="29"/>
  <c r="AO103" i="29"/>
  <c r="AM103" i="29"/>
  <c r="AL103" i="29"/>
  <c r="AJ103" i="29"/>
  <c r="AO102" i="29"/>
  <c r="AM102" i="29"/>
  <c r="AL102" i="29"/>
  <c r="AJ102" i="29"/>
  <c r="AO101" i="29"/>
  <c r="AM101" i="29"/>
  <c r="AL101" i="29"/>
  <c r="AJ101" i="29"/>
  <c r="AO100" i="29"/>
  <c r="AM100" i="29"/>
  <c r="AL100" i="29"/>
  <c r="AJ100" i="29"/>
  <c r="AO99" i="29"/>
  <c r="AM99" i="29"/>
  <c r="AL99" i="29"/>
  <c r="AJ99" i="29"/>
  <c r="AO98" i="29"/>
  <c r="AM98" i="29"/>
  <c r="AL98" i="29"/>
  <c r="AJ98" i="29"/>
  <c r="AO97" i="29"/>
  <c r="AM97" i="29"/>
  <c r="AL97" i="29"/>
  <c r="AJ97" i="29"/>
  <c r="AO96" i="29"/>
  <c r="AM96" i="29"/>
  <c r="AL96" i="29"/>
  <c r="AJ96" i="29"/>
  <c r="AO95" i="29"/>
  <c r="AM95" i="29"/>
  <c r="AL95" i="29"/>
  <c r="AJ95" i="29"/>
  <c r="AP90" i="29"/>
  <c r="AP91" i="29"/>
  <c r="AN90" i="29"/>
  <c r="AN91" i="29"/>
  <c r="AK90" i="29"/>
  <c r="AK91" i="29"/>
  <c r="AI90" i="29"/>
  <c r="AI91" i="29"/>
  <c r="AO86" i="29"/>
  <c r="AM86" i="29"/>
  <c r="AL86" i="29"/>
  <c r="AJ86" i="29"/>
  <c r="AO85" i="29"/>
  <c r="AM85" i="29"/>
  <c r="AL85" i="29"/>
  <c r="AJ85" i="29"/>
  <c r="AO84" i="29"/>
  <c r="AM84" i="29"/>
  <c r="AL84" i="29"/>
  <c r="AJ84" i="29"/>
  <c r="AO83" i="29"/>
  <c r="AM83" i="29"/>
  <c r="AL83" i="29"/>
  <c r="AJ83" i="29"/>
  <c r="AO82" i="29"/>
  <c r="AM82" i="29"/>
  <c r="AL82" i="29"/>
  <c r="AJ82" i="29"/>
  <c r="AO80" i="29"/>
  <c r="AM80" i="29"/>
  <c r="AL80" i="29"/>
  <c r="AJ80" i="29"/>
  <c r="AO79" i="29"/>
  <c r="AM79" i="29"/>
  <c r="AL79" i="29"/>
  <c r="AJ79" i="29"/>
  <c r="AO78" i="29"/>
  <c r="AM78" i="29"/>
  <c r="AL78" i="29"/>
  <c r="AJ78" i="29"/>
  <c r="AO77" i="29"/>
  <c r="AM77" i="29"/>
  <c r="AL77" i="29"/>
  <c r="AJ77" i="29"/>
  <c r="AO72" i="29"/>
  <c r="AM72" i="29"/>
  <c r="AL72" i="29"/>
  <c r="AJ72" i="29"/>
  <c r="AO71" i="29"/>
  <c r="AM71" i="29"/>
  <c r="AL71" i="29"/>
  <c r="AJ71" i="29"/>
  <c r="AO70" i="29"/>
  <c r="AM70" i="29"/>
  <c r="AL70" i="29"/>
  <c r="AJ70" i="29"/>
  <c r="AO69" i="29"/>
  <c r="AM69" i="29"/>
  <c r="AL69" i="29"/>
  <c r="AJ69" i="29"/>
  <c r="AO68" i="29"/>
  <c r="AM68" i="29"/>
  <c r="AL68" i="29"/>
  <c r="AJ68" i="29"/>
  <c r="AO66" i="29"/>
  <c r="AM66" i="29"/>
  <c r="AL66" i="29"/>
  <c r="AJ66" i="29"/>
  <c r="AO65" i="29"/>
  <c r="AM65" i="29"/>
  <c r="AL65" i="29"/>
  <c r="AJ65" i="29"/>
  <c r="AO64" i="29"/>
  <c r="AM64" i="29"/>
  <c r="AL64" i="29"/>
  <c r="AJ64" i="29"/>
  <c r="AO63" i="29"/>
  <c r="AM63" i="29"/>
  <c r="AL63" i="29"/>
  <c r="AJ63" i="29"/>
  <c r="AO62" i="29"/>
  <c r="AM62" i="29"/>
  <c r="AL62" i="29"/>
  <c r="AJ62" i="29"/>
  <c r="AO61" i="29"/>
  <c r="AM61" i="29"/>
  <c r="AL61" i="29"/>
  <c r="AJ61" i="29"/>
  <c r="AO60" i="29"/>
  <c r="AM60" i="29"/>
  <c r="AL60" i="29"/>
  <c r="AJ60" i="29"/>
  <c r="AO47" i="29"/>
  <c r="AM47" i="29"/>
  <c r="AL47" i="29"/>
  <c r="AJ47" i="29"/>
  <c r="AO46" i="29"/>
  <c r="AM46" i="29"/>
  <c r="AL46" i="29"/>
  <c r="AJ46" i="29"/>
  <c r="AO45" i="29"/>
  <c r="AM45" i="29"/>
  <c r="AL45" i="29"/>
  <c r="AJ45" i="29"/>
  <c r="AO44" i="29"/>
  <c r="AM44" i="29"/>
  <c r="AL44" i="29"/>
  <c r="AJ44" i="29"/>
  <c r="AO43" i="29"/>
  <c r="AM43" i="29"/>
  <c r="AL43" i="29"/>
  <c r="AJ43" i="29"/>
  <c r="AO42" i="29"/>
  <c r="AM42" i="29"/>
  <c r="AL42" i="29"/>
  <c r="AJ42" i="29"/>
  <c r="AO41" i="29"/>
  <c r="AM41" i="29"/>
  <c r="AL41" i="29"/>
  <c r="AJ41" i="29"/>
  <c r="AO40" i="29"/>
  <c r="AM40" i="29"/>
  <c r="AL40" i="29"/>
  <c r="AJ40" i="29"/>
  <c r="AO39" i="29"/>
  <c r="AM39" i="29"/>
  <c r="AL39" i="29"/>
  <c r="AJ39" i="29"/>
  <c r="AP35" i="29"/>
  <c r="AN35" i="29"/>
  <c r="AK35" i="29"/>
  <c r="AO25" i="29"/>
  <c r="AO35" i="29"/>
  <c r="AM25" i="29"/>
  <c r="AM35" i="29"/>
  <c r="AL25" i="29"/>
  <c r="AL35" i="29"/>
  <c r="AJ25" i="29"/>
  <c r="AJ35" i="29"/>
  <c r="AP17" i="29"/>
  <c r="AN17" i="29"/>
  <c r="AK17" i="29"/>
  <c r="AI17" i="29"/>
  <c r="AO15" i="29"/>
  <c r="AM15" i="29"/>
  <c r="AL15" i="29"/>
  <c r="AJ15" i="29"/>
  <c r="AO14" i="29"/>
  <c r="AM14" i="29"/>
  <c r="AL14" i="29"/>
  <c r="AJ14" i="29"/>
  <c r="AO13" i="29"/>
  <c r="AM13" i="29"/>
  <c r="AL13" i="29"/>
  <c r="AJ13" i="29"/>
  <c r="AO12" i="29"/>
  <c r="AM12" i="29"/>
  <c r="AL12" i="29"/>
  <c r="AJ12" i="29"/>
  <c r="AO11" i="29"/>
  <c r="AM11" i="29"/>
  <c r="AL11" i="29"/>
  <c r="AJ11" i="29"/>
  <c r="AO10" i="29"/>
  <c r="AM10" i="29"/>
  <c r="AL10" i="29"/>
  <c r="AJ10" i="29"/>
  <c r="AO9" i="29"/>
  <c r="AM9" i="29"/>
  <c r="AL9" i="29"/>
  <c r="AJ9" i="29"/>
  <c r="AO8" i="29"/>
  <c r="AM8" i="29"/>
  <c r="AL8" i="29"/>
  <c r="AJ8" i="29"/>
  <c r="AO7" i="29"/>
  <c r="AM7" i="29"/>
  <c r="AL7" i="29"/>
  <c r="AJ7" i="29"/>
  <c r="AJ107" i="28"/>
  <c r="AL107" i="28"/>
  <c r="AM107" i="28"/>
  <c r="AO107" i="28"/>
  <c r="AO105" i="28"/>
  <c r="AM105" i="28"/>
  <c r="AL105" i="28"/>
  <c r="AJ105" i="28"/>
  <c r="AJ107" i="27"/>
  <c r="AL107" i="27"/>
  <c r="AM107" i="27"/>
  <c r="AO107" i="27"/>
  <c r="AO105" i="27"/>
  <c r="AM105" i="27"/>
  <c r="AL105" i="27"/>
  <c r="AJ105" i="27"/>
  <c r="AK35" i="28"/>
  <c r="AL35" i="28"/>
  <c r="AM35" i="28"/>
  <c r="AN35" i="28"/>
  <c r="AP35" i="28"/>
  <c r="AJ25" i="28"/>
  <c r="AJ35" i="28"/>
  <c r="AL25" i="28"/>
  <c r="AM25" i="28"/>
  <c r="AO25" i="28"/>
  <c r="AJ26" i="28"/>
  <c r="AL26" i="28"/>
  <c r="AM26" i="28"/>
  <c r="AO26" i="28"/>
  <c r="AO35" i="28"/>
  <c r="AJ27" i="28"/>
  <c r="AL27" i="28"/>
  <c r="AM27" i="28"/>
  <c r="AO27" i="28"/>
  <c r="AJ28" i="28"/>
  <c r="AL28" i="28"/>
  <c r="AM28" i="28"/>
  <c r="AO28" i="28"/>
  <c r="AJ29" i="28"/>
  <c r="AL29" i="28"/>
  <c r="AM29" i="28"/>
  <c r="AO29" i="28"/>
  <c r="AJ30" i="28"/>
  <c r="AL30" i="28"/>
  <c r="AM30" i="28"/>
  <c r="AO30" i="28"/>
  <c r="AJ31" i="28"/>
  <c r="AL31" i="28"/>
  <c r="AM31" i="28"/>
  <c r="AO31" i="28"/>
  <c r="AJ32" i="28"/>
  <c r="AL32" i="28"/>
  <c r="AM32" i="28"/>
  <c r="AO32" i="28"/>
  <c r="AJ33" i="28"/>
  <c r="AL33" i="28"/>
  <c r="AM33" i="28"/>
  <c r="AO33" i="28"/>
  <c r="AO140" i="28"/>
  <c r="AM140" i="28"/>
  <c r="AL140" i="28"/>
  <c r="AJ140" i="28"/>
  <c r="AO139" i="28"/>
  <c r="AM139" i="28"/>
  <c r="AL139" i="28"/>
  <c r="AJ139" i="28"/>
  <c r="AO138" i="28"/>
  <c r="AM138" i="28"/>
  <c r="AL138" i="28"/>
  <c r="AJ138" i="28"/>
  <c r="AO137" i="28"/>
  <c r="AM137" i="28"/>
  <c r="AL137" i="28"/>
  <c r="AJ137" i="28"/>
  <c r="AO136" i="28"/>
  <c r="AM136" i="28"/>
  <c r="AL136" i="28"/>
  <c r="AJ136" i="28"/>
  <c r="AO135" i="28"/>
  <c r="AM135" i="28"/>
  <c r="AL135" i="28"/>
  <c r="AJ135" i="28"/>
  <c r="AO134" i="28"/>
  <c r="AM134" i="28"/>
  <c r="AL134" i="28"/>
  <c r="AJ134" i="28"/>
  <c r="AO133" i="28"/>
  <c r="AM133" i="28"/>
  <c r="AL133" i="28"/>
  <c r="AJ133" i="28"/>
  <c r="AJ141" i="28"/>
  <c r="AO128" i="28"/>
  <c r="AM128" i="28"/>
  <c r="AL128" i="28"/>
  <c r="AJ128" i="28"/>
  <c r="AO127" i="28"/>
  <c r="AM127" i="28"/>
  <c r="AL127" i="28"/>
  <c r="AJ127" i="28"/>
  <c r="AO126" i="28"/>
  <c r="AM126" i="28"/>
  <c r="AL126" i="28"/>
  <c r="AJ126" i="28"/>
  <c r="AO125" i="28"/>
  <c r="AO129" i="28"/>
  <c r="AM125" i="28"/>
  <c r="AL125" i="28"/>
  <c r="AJ125" i="28"/>
  <c r="AO121" i="28"/>
  <c r="AM121" i="28"/>
  <c r="AL121" i="28"/>
  <c r="AJ121" i="28"/>
  <c r="AO120" i="28"/>
  <c r="AM120" i="28"/>
  <c r="AL120" i="28"/>
  <c r="AJ120" i="28"/>
  <c r="AO119" i="28"/>
  <c r="AM119" i="28"/>
  <c r="AL119" i="28"/>
  <c r="AJ119" i="28"/>
  <c r="AO118" i="28"/>
  <c r="AM118" i="28"/>
  <c r="AL118" i="28"/>
  <c r="AJ118" i="28"/>
  <c r="AO117" i="28"/>
  <c r="AM117" i="28"/>
  <c r="AL117" i="28"/>
  <c r="AJ117" i="28"/>
  <c r="AO115" i="28"/>
  <c r="AM115" i="28"/>
  <c r="AL115" i="28"/>
  <c r="AJ115" i="28"/>
  <c r="AO114" i="28"/>
  <c r="AM114" i="28"/>
  <c r="AL114" i="28"/>
  <c r="AJ114" i="28"/>
  <c r="AO113" i="28"/>
  <c r="AM113" i="28"/>
  <c r="AL113" i="28"/>
  <c r="AJ113" i="28"/>
  <c r="AO106" i="28"/>
  <c r="AM106" i="28"/>
  <c r="AL106" i="28"/>
  <c r="AJ106" i="28"/>
  <c r="AO104" i="28"/>
  <c r="AM104" i="28"/>
  <c r="AL104" i="28"/>
  <c r="AJ104" i="28"/>
  <c r="AO103" i="28"/>
  <c r="AM103" i="28"/>
  <c r="AL103" i="28"/>
  <c r="AJ103" i="28"/>
  <c r="AO102" i="28"/>
  <c r="AM102" i="28"/>
  <c r="AL102" i="28"/>
  <c r="AJ102" i="28"/>
  <c r="AO101" i="28"/>
  <c r="AM101" i="28"/>
  <c r="AL101" i="28"/>
  <c r="AJ101" i="28"/>
  <c r="AO100" i="28"/>
  <c r="AM100" i="28"/>
  <c r="AL100" i="28"/>
  <c r="AJ100" i="28"/>
  <c r="AO99" i="28"/>
  <c r="AM99" i="28"/>
  <c r="AL99" i="28"/>
  <c r="AJ99" i="28"/>
  <c r="AO98" i="28"/>
  <c r="AM98" i="28"/>
  <c r="AL98" i="28"/>
  <c r="AJ98" i="28"/>
  <c r="AO97" i="28"/>
  <c r="AM97" i="28"/>
  <c r="AL97" i="28"/>
  <c r="AJ97" i="28"/>
  <c r="AO96" i="28"/>
  <c r="AM96" i="28"/>
  <c r="AL96" i="28"/>
  <c r="AJ96" i="28"/>
  <c r="AO95" i="28"/>
  <c r="AM95" i="28"/>
  <c r="AL95" i="28"/>
  <c r="AJ95" i="28"/>
  <c r="AP90" i="28"/>
  <c r="AP91" i="28"/>
  <c r="AN90" i="28"/>
  <c r="AN91" i="28"/>
  <c r="AK90" i="28"/>
  <c r="AK91" i="28"/>
  <c r="AI90" i="28"/>
  <c r="AO86" i="28"/>
  <c r="AM86" i="28"/>
  <c r="AL86" i="28"/>
  <c r="AJ86" i="28"/>
  <c r="AO85" i="28"/>
  <c r="AM85" i="28"/>
  <c r="AL85" i="28"/>
  <c r="AJ85" i="28"/>
  <c r="AO84" i="28"/>
  <c r="AM84" i="28"/>
  <c r="AL84" i="28"/>
  <c r="AJ84" i="28"/>
  <c r="AO83" i="28"/>
  <c r="AM83" i="28"/>
  <c r="AL83" i="28"/>
  <c r="AJ83" i="28"/>
  <c r="AO82" i="28"/>
  <c r="AM82" i="28"/>
  <c r="AL82" i="28"/>
  <c r="AJ82" i="28"/>
  <c r="AO80" i="28"/>
  <c r="AM80" i="28"/>
  <c r="AL80" i="28"/>
  <c r="AJ80" i="28"/>
  <c r="AO79" i="28"/>
  <c r="AM79" i="28"/>
  <c r="AL79" i="28"/>
  <c r="AJ79" i="28"/>
  <c r="AO78" i="28"/>
  <c r="AM78" i="28"/>
  <c r="AL78" i="28"/>
  <c r="AJ78" i="28"/>
  <c r="AO77" i="28"/>
  <c r="AO81" i="28"/>
  <c r="AM77" i="28"/>
  <c r="AL77" i="28"/>
  <c r="AJ77" i="28"/>
  <c r="AJ81" i="28"/>
  <c r="AO72" i="28"/>
  <c r="AM72" i="28"/>
  <c r="AL72" i="28"/>
  <c r="AJ72" i="28"/>
  <c r="AO71" i="28"/>
  <c r="AM71" i="28"/>
  <c r="AL71" i="28"/>
  <c r="AJ71" i="28"/>
  <c r="AO70" i="28"/>
  <c r="AM70" i="28"/>
  <c r="AL70" i="28"/>
  <c r="AJ70" i="28"/>
  <c r="AO69" i="28"/>
  <c r="AM69" i="28"/>
  <c r="AL69" i="28"/>
  <c r="AJ69" i="28"/>
  <c r="AO68" i="28"/>
  <c r="AM68" i="28"/>
  <c r="AL68" i="28"/>
  <c r="AJ68" i="28"/>
  <c r="AO66" i="28"/>
  <c r="AM66" i="28"/>
  <c r="AL66" i="28"/>
  <c r="AJ66" i="28"/>
  <c r="AO65" i="28"/>
  <c r="AM65" i="28"/>
  <c r="AL65" i="28"/>
  <c r="AJ65" i="28"/>
  <c r="AO64" i="28"/>
  <c r="AM64" i="28"/>
  <c r="AL64" i="28"/>
  <c r="AJ64" i="28"/>
  <c r="AO63" i="28"/>
  <c r="AM63" i="28"/>
  <c r="AL63" i="28"/>
  <c r="AJ63" i="28"/>
  <c r="AO62" i="28"/>
  <c r="AM62" i="28"/>
  <c r="AL62" i="28"/>
  <c r="AJ62" i="28"/>
  <c r="AO61" i="28"/>
  <c r="AM61" i="28"/>
  <c r="AL61" i="28"/>
  <c r="AJ61" i="28"/>
  <c r="AO60" i="28"/>
  <c r="AM60" i="28"/>
  <c r="AL60" i="28"/>
  <c r="AJ60" i="28"/>
  <c r="AO55" i="28"/>
  <c r="AM55" i="28"/>
  <c r="AL55" i="28"/>
  <c r="AJ55" i="28"/>
  <c r="AO54" i="28"/>
  <c r="AM54" i="28"/>
  <c r="AL54" i="28"/>
  <c r="AJ54" i="28"/>
  <c r="AO53" i="28"/>
  <c r="AM53" i="28"/>
  <c r="AL53" i="28"/>
  <c r="AJ53" i="28"/>
  <c r="AO52" i="28"/>
  <c r="AO56" i="28"/>
  <c r="AM52" i="28"/>
  <c r="AL52" i="28"/>
  <c r="AJ52" i="28"/>
  <c r="AO47" i="28"/>
  <c r="AM47" i="28"/>
  <c r="AL47" i="28"/>
  <c r="AJ47" i="28"/>
  <c r="AO46" i="28"/>
  <c r="AM46" i="28"/>
  <c r="AL46" i="28"/>
  <c r="AJ46" i="28"/>
  <c r="AO45" i="28"/>
  <c r="AM45" i="28"/>
  <c r="AL45" i="28"/>
  <c r="AJ45" i="28"/>
  <c r="AO44" i="28"/>
  <c r="AM44" i="28"/>
  <c r="AL44" i="28"/>
  <c r="AJ44" i="28"/>
  <c r="AO43" i="28"/>
  <c r="AM43" i="28"/>
  <c r="AL43" i="28"/>
  <c r="AJ43" i="28"/>
  <c r="AO42" i="28"/>
  <c r="AM42" i="28"/>
  <c r="AL42" i="28"/>
  <c r="AJ42" i="28"/>
  <c r="AO41" i="28"/>
  <c r="AM41" i="28"/>
  <c r="AL41" i="28"/>
  <c r="AJ41" i="28"/>
  <c r="AO40" i="28"/>
  <c r="AM40" i="28"/>
  <c r="AL40" i="28"/>
  <c r="AJ40" i="28"/>
  <c r="AO39" i="28"/>
  <c r="AM39" i="28"/>
  <c r="AL39" i="28"/>
  <c r="AJ39" i="28"/>
  <c r="AP17" i="28"/>
  <c r="AN17" i="28"/>
  <c r="AK17" i="28"/>
  <c r="AI17" i="28"/>
  <c r="AO15" i="28"/>
  <c r="AM15" i="28"/>
  <c r="AL15" i="28"/>
  <c r="AL17" i="28"/>
  <c r="AJ15" i="28"/>
  <c r="AO14" i="28"/>
  <c r="AO17" i="28"/>
  <c r="AM14" i="28"/>
  <c r="AL14" i="28"/>
  <c r="AJ14" i="28"/>
  <c r="AO13" i="28"/>
  <c r="AM13" i="28"/>
  <c r="AL13" i="28"/>
  <c r="AJ13" i="28"/>
  <c r="AO12" i="28"/>
  <c r="AM12" i="28"/>
  <c r="AL12" i="28"/>
  <c r="AJ12" i="28"/>
  <c r="AO11" i="28"/>
  <c r="AM11" i="28"/>
  <c r="AL11" i="28"/>
  <c r="AJ11" i="28"/>
  <c r="AO10" i="28"/>
  <c r="AM10" i="28"/>
  <c r="AL10" i="28"/>
  <c r="AJ10" i="28"/>
  <c r="AO9" i="28"/>
  <c r="AM9" i="28"/>
  <c r="AL9" i="28"/>
  <c r="AJ9" i="28"/>
  <c r="AO8" i="28"/>
  <c r="AM8" i="28"/>
  <c r="AL8" i="28"/>
  <c r="AJ8" i="28"/>
  <c r="AO7" i="28"/>
  <c r="AM7" i="28"/>
  <c r="AL7" i="28"/>
  <c r="AJ7" i="28"/>
  <c r="AK17" i="27"/>
  <c r="AL17" i="27"/>
  <c r="AN17" i="27"/>
  <c r="AP17" i="27"/>
  <c r="AI17" i="27"/>
  <c r="AJ7" i="27"/>
  <c r="AL7" i="27"/>
  <c r="AM7" i="27"/>
  <c r="AO7" i="27"/>
  <c r="AJ8" i="27"/>
  <c r="AL8" i="27"/>
  <c r="AM8" i="27"/>
  <c r="AO8" i="27"/>
  <c r="AJ9" i="27"/>
  <c r="AL9" i="27"/>
  <c r="AM9" i="27"/>
  <c r="AO9" i="27"/>
  <c r="AJ10" i="27"/>
  <c r="AL10" i="27"/>
  <c r="AM10" i="27"/>
  <c r="AO10" i="27"/>
  <c r="AJ11" i="27"/>
  <c r="AL11" i="27"/>
  <c r="AM11" i="27"/>
  <c r="AO11" i="27"/>
  <c r="AJ12" i="27"/>
  <c r="AL12" i="27"/>
  <c r="AM12" i="27"/>
  <c r="AO12" i="27"/>
  <c r="AJ13" i="27"/>
  <c r="AL13" i="27"/>
  <c r="AM13" i="27"/>
  <c r="AO13" i="27"/>
  <c r="AJ14" i="27"/>
  <c r="AJ17" i="27"/>
  <c r="AL14" i="27"/>
  <c r="AM14" i="27"/>
  <c r="AM17" i="27"/>
  <c r="AO14" i="27"/>
  <c r="AO17" i="27"/>
  <c r="AJ15" i="27"/>
  <c r="AL15" i="27"/>
  <c r="AM15" i="27"/>
  <c r="AO15" i="27"/>
  <c r="AM141" i="28"/>
  <c r="AO87" i="28"/>
  <c r="AO91" i="28"/>
  <c r="AL67" i="28"/>
  <c r="AL73" i="28"/>
  <c r="AJ87" i="28"/>
  <c r="AJ67" i="29"/>
  <c r="AJ73" i="29"/>
  <c r="AL87" i="29"/>
  <c r="AL116" i="29"/>
  <c r="AL129" i="29"/>
  <c r="AL17" i="29"/>
  <c r="AM116" i="29"/>
  <c r="AM129" i="29"/>
  <c r="AM17" i="29"/>
  <c r="AO67" i="29"/>
  <c r="AO73" i="29"/>
  <c r="AL56" i="28"/>
  <c r="AO17" i="29"/>
  <c r="AM17" i="28"/>
  <c r="AL129" i="28"/>
  <c r="AO116" i="29"/>
  <c r="AO129" i="29"/>
  <c r="AO122" i="29"/>
  <c r="AJ116" i="29"/>
  <c r="AJ123" i="29"/>
  <c r="AL122" i="29"/>
  <c r="AL123" i="29"/>
  <c r="AM122" i="29"/>
  <c r="AM123" i="29"/>
  <c r="AJ122" i="29"/>
  <c r="AJ129" i="29"/>
  <c r="AJ90" i="29"/>
  <c r="AO90" i="29"/>
  <c r="AO81" i="29"/>
  <c r="AO87" i="29"/>
  <c r="AL81" i="29"/>
  <c r="AM87" i="29"/>
  <c r="AM81" i="29"/>
  <c r="AJ87" i="29"/>
  <c r="AJ81" i="29"/>
  <c r="AJ91" i="29"/>
  <c r="AL67" i="29"/>
  <c r="AL73" i="29"/>
  <c r="AM67" i="29"/>
  <c r="AM73" i="29"/>
  <c r="AO48" i="29"/>
  <c r="AL48" i="29"/>
  <c r="AM48" i="29"/>
  <c r="AJ48" i="29"/>
  <c r="AJ17" i="29"/>
  <c r="AL90" i="29"/>
  <c r="AL91" i="29"/>
  <c r="AM90" i="29"/>
  <c r="AO141" i="28"/>
  <c r="AL141" i="28"/>
  <c r="AM129" i="28"/>
  <c r="AL116" i="28"/>
  <c r="AL122" i="28"/>
  <c r="AM116" i="28"/>
  <c r="AO116" i="28"/>
  <c r="AO122" i="28"/>
  <c r="AJ122" i="28"/>
  <c r="AM122" i="28"/>
  <c r="AJ129" i="28"/>
  <c r="AO90" i="28"/>
  <c r="AO88" i="28"/>
  <c r="AM90" i="28"/>
  <c r="AM88" i="28"/>
  <c r="AJ90" i="28"/>
  <c r="AJ88" i="28"/>
  <c r="AL81" i="28"/>
  <c r="AL91" i="28"/>
  <c r="AM81" i="28"/>
  <c r="AL87" i="28"/>
  <c r="AM87" i="28"/>
  <c r="AO67" i="28"/>
  <c r="AO73" i="28"/>
  <c r="AM67" i="28"/>
  <c r="AM73" i="28"/>
  <c r="AJ67" i="28"/>
  <c r="AJ73" i="28"/>
  <c r="AM56" i="28"/>
  <c r="AJ56" i="28"/>
  <c r="AO48" i="28"/>
  <c r="AM48" i="28"/>
  <c r="AL48" i="28"/>
  <c r="AJ48" i="28"/>
  <c r="AJ17" i="28"/>
  <c r="AJ116" i="28"/>
  <c r="AL90" i="28"/>
  <c r="AL88" i="28"/>
  <c r="AO123" i="29"/>
  <c r="AJ91" i="28"/>
  <c r="AJ123" i="28"/>
  <c r="AM91" i="28"/>
  <c r="AL123" i="28"/>
  <c r="AO91" i="29"/>
  <c r="AM91" i="29"/>
  <c r="AM123" i="28"/>
  <c r="AO123" i="28"/>
  <c r="AO140" i="27"/>
  <c r="AM140" i="27"/>
  <c r="AL140" i="27"/>
  <c r="AJ140" i="27"/>
  <c r="AO139" i="27"/>
  <c r="AM139" i="27"/>
  <c r="AL139" i="27"/>
  <c r="AJ139" i="27"/>
  <c r="AO138" i="27"/>
  <c r="AM138" i="27"/>
  <c r="AL138" i="27"/>
  <c r="AJ138" i="27"/>
  <c r="AO137" i="27"/>
  <c r="AM137" i="27"/>
  <c r="AL137" i="27"/>
  <c r="AJ137" i="27"/>
  <c r="AO136" i="27"/>
  <c r="AM136" i="27"/>
  <c r="AL136" i="27"/>
  <c r="AJ136" i="27"/>
  <c r="AO135" i="27"/>
  <c r="AM135" i="27"/>
  <c r="AL135" i="27"/>
  <c r="AJ135" i="27"/>
  <c r="AO134" i="27"/>
  <c r="AM134" i="27"/>
  <c r="AL134" i="27"/>
  <c r="AJ134" i="27"/>
  <c r="AO133" i="27"/>
  <c r="AM133" i="27"/>
  <c r="AL133" i="27"/>
  <c r="AJ133" i="27"/>
  <c r="AO128" i="27"/>
  <c r="AM128" i="27"/>
  <c r="AL128" i="27"/>
  <c r="AJ128" i="27"/>
  <c r="AO127" i="27"/>
  <c r="AM127" i="27"/>
  <c r="AL127" i="27"/>
  <c r="AJ127" i="27"/>
  <c r="AO126" i="27"/>
  <c r="AM126" i="27"/>
  <c r="AL126" i="27"/>
  <c r="AJ126" i="27"/>
  <c r="AO125" i="27"/>
  <c r="AM125" i="27"/>
  <c r="AL125" i="27"/>
  <c r="AJ125" i="27"/>
  <c r="AO121" i="27"/>
  <c r="AM121" i="27"/>
  <c r="AL121" i="27"/>
  <c r="AJ121" i="27"/>
  <c r="AO120" i="27"/>
  <c r="AM120" i="27"/>
  <c r="AL120" i="27"/>
  <c r="AJ120" i="27"/>
  <c r="AO119" i="27"/>
  <c r="AM119" i="27"/>
  <c r="AL119" i="27"/>
  <c r="AJ119" i="27"/>
  <c r="AO118" i="27"/>
  <c r="AM118" i="27"/>
  <c r="AL118" i="27"/>
  <c r="AJ118" i="27"/>
  <c r="AO117" i="27"/>
  <c r="AM117" i="27"/>
  <c r="AL117" i="27"/>
  <c r="AJ117" i="27"/>
  <c r="AO115" i="27"/>
  <c r="AM115" i="27"/>
  <c r="AL115" i="27"/>
  <c r="AJ115" i="27"/>
  <c r="AO114" i="27"/>
  <c r="AM114" i="27"/>
  <c r="AL114" i="27"/>
  <c r="AJ114" i="27"/>
  <c r="AO113" i="27"/>
  <c r="AM113" i="27"/>
  <c r="AL113" i="27"/>
  <c r="AJ113" i="27"/>
  <c r="AO106" i="27"/>
  <c r="AM106" i="27"/>
  <c r="AL106" i="27"/>
  <c r="AJ106" i="27"/>
  <c r="AO104" i="27"/>
  <c r="AM104" i="27"/>
  <c r="AL104" i="27"/>
  <c r="AJ104" i="27"/>
  <c r="AO103" i="27"/>
  <c r="AM103" i="27"/>
  <c r="AL103" i="27"/>
  <c r="AJ103" i="27"/>
  <c r="AO102" i="27"/>
  <c r="AM102" i="27"/>
  <c r="AL102" i="27"/>
  <c r="AJ102" i="27"/>
  <c r="AO101" i="27"/>
  <c r="AM101" i="27"/>
  <c r="AL101" i="27"/>
  <c r="AJ101" i="27"/>
  <c r="AO100" i="27"/>
  <c r="AM100" i="27"/>
  <c r="AL100" i="27"/>
  <c r="AJ100" i="27"/>
  <c r="AO99" i="27"/>
  <c r="AM99" i="27"/>
  <c r="AL99" i="27"/>
  <c r="AJ99" i="27"/>
  <c r="AO98" i="27"/>
  <c r="AM98" i="27"/>
  <c r="AL98" i="27"/>
  <c r="AJ98" i="27"/>
  <c r="AO97" i="27"/>
  <c r="AM97" i="27"/>
  <c r="AL97" i="27"/>
  <c r="AJ97" i="27"/>
  <c r="AO96" i="27"/>
  <c r="AM96" i="27"/>
  <c r="AL96" i="27"/>
  <c r="AJ96" i="27"/>
  <c r="AO95" i="27"/>
  <c r="AM95" i="27"/>
  <c r="AL95" i="27"/>
  <c r="AJ95" i="27"/>
  <c r="AP90" i="27"/>
  <c r="AN90" i="27"/>
  <c r="AN91" i="27"/>
  <c r="AK90" i="27"/>
  <c r="AI90" i="27"/>
  <c r="AO86" i="27"/>
  <c r="AM86" i="27"/>
  <c r="AL86" i="27"/>
  <c r="AJ86" i="27"/>
  <c r="AO85" i="27"/>
  <c r="AM85" i="27"/>
  <c r="AL85" i="27"/>
  <c r="AJ85" i="27"/>
  <c r="AO84" i="27"/>
  <c r="AM84" i="27"/>
  <c r="AL84" i="27"/>
  <c r="AJ84" i="27"/>
  <c r="AO83" i="27"/>
  <c r="AM83" i="27"/>
  <c r="AL83" i="27"/>
  <c r="AJ83" i="27"/>
  <c r="AO82" i="27"/>
  <c r="AM82" i="27"/>
  <c r="AL82" i="27"/>
  <c r="AJ82" i="27"/>
  <c r="AO80" i="27"/>
  <c r="AM80" i="27"/>
  <c r="AL80" i="27"/>
  <c r="AJ80" i="27"/>
  <c r="AO79" i="27"/>
  <c r="AM79" i="27"/>
  <c r="AL79" i="27"/>
  <c r="AJ79" i="27"/>
  <c r="AO78" i="27"/>
  <c r="AM78" i="27"/>
  <c r="AL78" i="27"/>
  <c r="AJ78" i="27"/>
  <c r="AO77" i="27"/>
  <c r="AM77" i="27"/>
  <c r="AL77" i="27"/>
  <c r="AJ77" i="27"/>
  <c r="AO72" i="27"/>
  <c r="AM72" i="27"/>
  <c r="AL72" i="27"/>
  <c r="AJ72" i="27"/>
  <c r="AO71" i="27"/>
  <c r="AM71" i="27"/>
  <c r="AL71" i="27"/>
  <c r="AJ71" i="27"/>
  <c r="AO70" i="27"/>
  <c r="AM70" i="27"/>
  <c r="AL70" i="27"/>
  <c r="AJ70" i="27"/>
  <c r="AO69" i="27"/>
  <c r="AM69" i="27"/>
  <c r="AL69" i="27"/>
  <c r="AJ69" i="27"/>
  <c r="AO68" i="27"/>
  <c r="AM68" i="27"/>
  <c r="AL68" i="27"/>
  <c r="AJ68" i="27"/>
  <c r="AO66" i="27"/>
  <c r="AM66" i="27"/>
  <c r="AL66" i="27"/>
  <c r="AJ66" i="27"/>
  <c r="AO65" i="27"/>
  <c r="AM65" i="27"/>
  <c r="AL65" i="27"/>
  <c r="AJ65" i="27"/>
  <c r="AO64" i="27"/>
  <c r="AM64" i="27"/>
  <c r="AL64" i="27"/>
  <c r="AJ64" i="27"/>
  <c r="AO63" i="27"/>
  <c r="AM63" i="27"/>
  <c r="AL63" i="27"/>
  <c r="AJ63" i="27"/>
  <c r="AO62" i="27"/>
  <c r="AM62" i="27"/>
  <c r="AL62" i="27"/>
  <c r="AJ62" i="27"/>
  <c r="AO61" i="27"/>
  <c r="AM61" i="27"/>
  <c r="AL61" i="27"/>
  <c r="AJ61" i="27"/>
  <c r="AO60" i="27"/>
  <c r="AM60" i="27"/>
  <c r="AL60" i="27"/>
  <c r="AJ60" i="27"/>
  <c r="AO55" i="27"/>
  <c r="AM55" i="27"/>
  <c r="AL55" i="27"/>
  <c r="AJ55" i="27"/>
  <c r="AO54" i="27"/>
  <c r="AM54" i="27"/>
  <c r="AL54" i="27"/>
  <c r="AJ54" i="27"/>
  <c r="AO53" i="27"/>
  <c r="AM53" i="27"/>
  <c r="AL53" i="27"/>
  <c r="AJ53" i="27"/>
  <c r="AO52" i="27"/>
  <c r="AM52" i="27"/>
  <c r="AL52" i="27"/>
  <c r="AJ52" i="27"/>
  <c r="AO47" i="27"/>
  <c r="AM47" i="27"/>
  <c r="AL47" i="27"/>
  <c r="AJ47" i="27"/>
  <c r="AO46" i="27"/>
  <c r="AM46" i="27"/>
  <c r="AL46" i="27"/>
  <c r="AJ46" i="27"/>
  <c r="AO45" i="27"/>
  <c r="AM45" i="27"/>
  <c r="AL45" i="27"/>
  <c r="AJ45" i="27"/>
  <c r="AO44" i="27"/>
  <c r="AM44" i="27"/>
  <c r="AL44" i="27"/>
  <c r="AJ44" i="27"/>
  <c r="AO43" i="27"/>
  <c r="AM43" i="27"/>
  <c r="AL43" i="27"/>
  <c r="AJ43" i="27"/>
  <c r="AO42" i="27"/>
  <c r="AM42" i="27"/>
  <c r="AL42" i="27"/>
  <c r="AJ42" i="27"/>
  <c r="AO41" i="27"/>
  <c r="AM41" i="27"/>
  <c r="AL41" i="27"/>
  <c r="AJ41" i="27"/>
  <c r="AO40" i="27"/>
  <c r="AM40" i="27"/>
  <c r="AL40" i="27"/>
  <c r="AJ40" i="27"/>
  <c r="AO39" i="27"/>
  <c r="AM39" i="27"/>
  <c r="AL39" i="27"/>
  <c r="AJ39" i="27"/>
  <c r="AO33" i="27"/>
  <c r="AM33" i="27"/>
  <c r="AL33" i="27"/>
  <c r="AJ33" i="27"/>
  <c r="AO32" i="27"/>
  <c r="AM32" i="27"/>
  <c r="AL32" i="27"/>
  <c r="AJ32" i="27"/>
  <c r="AO31" i="27"/>
  <c r="AM31" i="27"/>
  <c r="AL31" i="27"/>
  <c r="AJ31" i="27"/>
  <c r="AO30" i="27"/>
  <c r="AM30" i="27"/>
  <c r="AL30" i="27"/>
  <c r="AJ30" i="27"/>
  <c r="AO29" i="27"/>
  <c r="AM29" i="27"/>
  <c r="AL29" i="27"/>
  <c r="AJ29" i="27"/>
  <c r="AO28" i="27"/>
  <c r="AM28" i="27"/>
  <c r="AL28" i="27"/>
  <c r="AJ28" i="27"/>
  <c r="AO27" i="27"/>
  <c r="AM27" i="27"/>
  <c r="AL27" i="27"/>
  <c r="AJ27" i="27"/>
  <c r="AO26" i="27"/>
  <c r="AM26" i="27"/>
  <c r="AL26" i="27"/>
  <c r="AJ26" i="27"/>
  <c r="AO25" i="27"/>
  <c r="AO35" i="27"/>
  <c r="AM25" i="27"/>
  <c r="AL25" i="27"/>
  <c r="AL35" i="27"/>
  <c r="AJ25" i="27"/>
  <c r="AM35" i="27"/>
  <c r="AJ35" i="27"/>
  <c r="AM90" i="27"/>
  <c r="AM88" i="27"/>
  <c r="AL87" i="27"/>
  <c r="AJ122" i="27"/>
  <c r="AP91" i="27"/>
  <c r="AO90" i="27"/>
  <c r="AO88" i="27"/>
  <c r="AO122" i="27"/>
  <c r="AL90" i="27"/>
  <c r="AL88" i="27"/>
  <c r="AO87" i="27"/>
  <c r="AJ116" i="27"/>
  <c r="AJ67" i="27"/>
  <c r="AJ73" i="27"/>
  <c r="AM48" i="27"/>
  <c r="AO116" i="27"/>
  <c r="AO48" i="27"/>
  <c r="AO141" i="27"/>
  <c r="AM56" i="27"/>
  <c r="AO56" i="27"/>
  <c r="AM122" i="27"/>
  <c r="AO129" i="27"/>
  <c r="AL67" i="27"/>
  <c r="AL73" i="27"/>
  <c r="AL81" i="27"/>
  <c r="AM67" i="27"/>
  <c r="AM73" i="27"/>
  <c r="AM81" i="27"/>
  <c r="AM116" i="27"/>
  <c r="AJ56" i="27"/>
  <c r="AO67" i="27"/>
  <c r="AO73" i="27"/>
  <c r="AO81" i="27"/>
  <c r="AJ141" i="27"/>
  <c r="AL56" i="27"/>
  <c r="AL141" i="27"/>
  <c r="AM141" i="27"/>
  <c r="AJ81" i="27"/>
  <c r="AL122" i="27"/>
  <c r="AJ129" i="27"/>
  <c r="AJ48" i="27"/>
  <c r="AJ87" i="27"/>
  <c r="AL129" i="27"/>
  <c r="AL48" i="27"/>
  <c r="AJ90" i="27"/>
  <c r="AJ88" i="27"/>
  <c r="AM129" i="27"/>
  <c r="AM87" i="27"/>
  <c r="AL116" i="27"/>
  <c r="AJ123" i="27"/>
  <c r="AM123" i="27"/>
  <c r="AO123" i="27"/>
  <c r="AO91" i="27"/>
  <c r="AL91" i="27"/>
  <c r="AM91" i="27"/>
  <c r="AL123" i="27"/>
  <c r="AJ91" i="27"/>
  <c r="D2" i="21"/>
  <c r="E2" i="22"/>
  <c r="AP115" i="17"/>
  <c r="AP122" i="17"/>
  <c r="AK115" i="17"/>
  <c r="AJ115" i="17"/>
  <c r="AO115" i="17"/>
  <c r="AN115" i="17"/>
  <c r="AM115" i="17"/>
  <c r="AL115" i="17"/>
  <c r="AI115" i="17"/>
  <c r="AK54" i="17"/>
  <c r="AN54" i="17"/>
  <c r="AP54" i="17"/>
  <c r="AA51" i="17"/>
  <c r="AB51" i="17"/>
  <c r="AC51" i="17"/>
  <c r="AD51" i="17"/>
  <c r="AA50" i="17"/>
  <c r="AB50" i="17"/>
  <c r="AC50" i="17"/>
  <c r="AD50" i="17"/>
  <c r="AA48" i="17"/>
  <c r="AB48" i="17"/>
  <c r="AC48" i="17"/>
  <c r="AD48" i="17"/>
  <c r="AA45" i="17"/>
  <c r="AB45" i="17"/>
  <c r="AC45" i="17"/>
  <c r="AD45" i="17"/>
  <c r="AA41" i="17"/>
  <c r="AB41" i="17"/>
  <c r="AC41" i="17"/>
  <c r="AD41" i="17"/>
  <c r="AA40" i="17"/>
  <c r="AB40" i="17"/>
  <c r="AC40" i="17"/>
  <c r="AD40" i="17"/>
  <c r="D66" i="24"/>
  <c r="D65" i="24"/>
  <c r="D64" i="24"/>
  <c r="D63" i="24"/>
  <c r="D62" i="24"/>
  <c r="D61" i="24"/>
  <c r="D60" i="24"/>
  <c r="D59" i="24"/>
  <c r="D58" i="24"/>
  <c r="D57" i="24"/>
  <c r="D56" i="24"/>
  <c r="D55" i="24"/>
  <c r="D54" i="24"/>
  <c r="D53" i="24"/>
  <c r="D52" i="24"/>
  <c r="D51" i="24"/>
  <c r="D50" i="24"/>
  <c r="D49" i="24"/>
  <c r="D48" i="24"/>
  <c r="D47" i="24"/>
  <c r="D46" i="24"/>
  <c r="D45" i="24"/>
  <c r="D44" i="24"/>
  <c r="D43" i="24"/>
  <c r="D42" i="24"/>
  <c r="D41" i="24"/>
  <c r="D40" i="24"/>
  <c r="D39" i="24"/>
  <c r="D38" i="24"/>
  <c r="D37" i="24"/>
  <c r="D36" i="24"/>
  <c r="D35" i="24"/>
  <c r="D34" i="24"/>
  <c r="D33" i="24"/>
  <c r="D32" i="24"/>
  <c r="D30" i="24"/>
  <c r="D29" i="24"/>
  <c r="D28" i="24"/>
  <c r="D27" i="24"/>
  <c r="D26" i="24"/>
  <c r="D25" i="24"/>
  <c r="D24" i="24"/>
  <c r="D23" i="24"/>
  <c r="D22" i="24"/>
  <c r="D21" i="24"/>
  <c r="D20" i="24"/>
  <c r="D19" i="24"/>
  <c r="D18" i="24"/>
  <c r="D17" i="24"/>
  <c r="D16" i="24"/>
  <c r="D15" i="24"/>
  <c r="D14" i="24"/>
  <c r="D13" i="24"/>
  <c r="D12" i="24"/>
  <c r="D11" i="24"/>
  <c r="D10" i="24"/>
  <c r="D9" i="24"/>
  <c r="D8" i="24"/>
  <c r="D7" i="24"/>
  <c r="D6" i="24"/>
  <c r="D5" i="24"/>
  <c r="D4" i="24"/>
  <c r="D3" i="24"/>
  <c r="D8" i="16"/>
  <c r="C8" i="16"/>
  <c r="C21" i="16"/>
  <c r="D8" i="14"/>
  <c r="C8" i="14"/>
  <c r="D79" i="14"/>
  <c r="C79" i="14"/>
  <c r="B64" i="14"/>
  <c r="C33" i="14"/>
  <c r="B34" i="14"/>
  <c r="D58" i="14"/>
  <c r="B35" i="14"/>
  <c r="D33" i="14"/>
  <c r="C58" i="14"/>
  <c r="B22" i="14"/>
  <c r="B27" i="14"/>
  <c r="B18" i="14"/>
  <c r="B23" i="14"/>
  <c r="B10" i="14"/>
  <c r="B14" i="14"/>
  <c r="B19" i="14"/>
  <c r="B59" i="14"/>
  <c r="B15" i="14"/>
  <c r="B31" i="14"/>
  <c r="B55" i="14"/>
  <c r="B60" i="14"/>
  <c r="B11" i="14"/>
  <c r="B51" i="14"/>
  <c r="B56" i="14"/>
  <c r="B46" i="14"/>
  <c r="B52" i="14"/>
  <c r="B42" i="14"/>
  <c r="B47" i="14"/>
  <c r="B26" i="14"/>
  <c r="B38" i="14"/>
  <c r="B43" i="14"/>
  <c r="B39" i="14"/>
  <c r="B30" i="14"/>
  <c r="C17" i="16"/>
  <c r="B10" i="16"/>
  <c r="B19" i="16"/>
  <c r="B34" i="16"/>
  <c r="B15" i="16"/>
  <c r="B26" i="16"/>
  <c r="B30" i="16"/>
  <c r="B22" i="16"/>
  <c r="B18" i="16"/>
  <c r="B14" i="16"/>
  <c r="B11" i="16"/>
  <c r="B35" i="16"/>
  <c r="B23" i="16"/>
  <c r="B31" i="16"/>
  <c r="B27" i="16"/>
  <c r="C25" i="16"/>
  <c r="C29" i="16"/>
  <c r="C13" i="16"/>
  <c r="D54" i="14"/>
  <c r="C33" i="16"/>
  <c r="C54" i="14"/>
  <c r="C13" i="14"/>
  <c r="D35" i="14"/>
  <c r="D34" i="14"/>
  <c r="C9" i="16"/>
  <c r="AN147" i="17"/>
  <c r="AP147" i="17"/>
  <c r="AK147" i="17"/>
  <c r="AM146" i="17"/>
  <c r="AL146" i="17"/>
  <c r="AM145" i="17"/>
  <c r="AL145" i="17"/>
  <c r="AM144" i="17"/>
  <c r="AL144" i="17"/>
  <c r="AM143" i="17"/>
  <c r="AL143" i="17"/>
  <c r="AM142" i="17"/>
  <c r="AL142" i="17"/>
  <c r="AM141" i="17"/>
  <c r="AL141" i="17"/>
  <c r="AM140" i="17"/>
  <c r="AL140" i="17"/>
  <c r="AM139" i="17"/>
  <c r="AL139" i="17"/>
  <c r="AO146" i="17"/>
  <c r="AO145" i="17"/>
  <c r="D29" i="16"/>
  <c r="AO144" i="17"/>
  <c r="D33" i="16"/>
  <c r="AO143" i="17"/>
  <c r="D25" i="16"/>
  <c r="AO142" i="17"/>
  <c r="D21" i="16"/>
  <c r="AO141" i="17"/>
  <c r="AO140" i="17"/>
  <c r="D17" i="16"/>
  <c r="AO139" i="17"/>
  <c r="AJ146" i="17"/>
  <c r="AJ145" i="17"/>
  <c r="AJ144" i="17"/>
  <c r="AJ143" i="17"/>
  <c r="AJ142" i="17"/>
  <c r="AJ141" i="17"/>
  <c r="AJ140" i="17"/>
  <c r="AJ139" i="17"/>
  <c r="AK135" i="17"/>
  <c r="AN135" i="17"/>
  <c r="AP135" i="17"/>
  <c r="AO134" i="17"/>
  <c r="AO133" i="17"/>
  <c r="AO132" i="17"/>
  <c r="AO131" i="17"/>
  <c r="AJ134" i="17"/>
  <c r="AJ133" i="17"/>
  <c r="AJ132" i="17"/>
  <c r="AJ131" i="17"/>
  <c r="AJ135" i="17"/>
  <c r="AM134" i="17"/>
  <c r="AL134" i="17"/>
  <c r="AM133" i="17"/>
  <c r="AL133" i="17"/>
  <c r="AM132" i="17"/>
  <c r="AL132" i="17"/>
  <c r="AM131" i="17"/>
  <c r="AL131" i="17"/>
  <c r="AJ147" i="17"/>
  <c r="AO135" i="17"/>
  <c r="AM135" i="17"/>
  <c r="AL135" i="17"/>
  <c r="AO147" i="17"/>
  <c r="D13" i="16"/>
  <c r="D9" i="16"/>
  <c r="AL147" i="17"/>
  <c r="AM147" i="17"/>
  <c r="AK122" i="17"/>
  <c r="AN122" i="17"/>
  <c r="AK128" i="17"/>
  <c r="AN128" i="17"/>
  <c r="AP128" i="17"/>
  <c r="AP129" i="17"/>
  <c r="AM127" i="17"/>
  <c r="AL127" i="17"/>
  <c r="AM126" i="17"/>
  <c r="AL126" i="17"/>
  <c r="AM125" i="17"/>
  <c r="AL125" i="17"/>
  <c r="AM124" i="17"/>
  <c r="AL124" i="17"/>
  <c r="AM123" i="17"/>
  <c r="AL123" i="17"/>
  <c r="AM121" i="17"/>
  <c r="AL121" i="17"/>
  <c r="AM120" i="17"/>
  <c r="AL120" i="17"/>
  <c r="AM119" i="17"/>
  <c r="AL119" i="17"/>
  <c r="AO127" i="17"/>
  <c r="AO126" i="17"/>
  <c r="AO125" i="17"/>
  <c r="AO124" i="17"/>
  <c r="AO123" i="17"/>
  <c r="AO121" i="17"/>
  <c r="AO120" i="17"/>
  <c r="AO119" i="17"/>
  <c r="AJ127" i="17"/>
  <c r="AJ126" i="17"/>
  <c r="AJ125" i="17"/>
  <c r="AJ124" i="17"/>
  <c r="AJ123" i="17"/>
  <c r="AJ121" i="17"/>
  <c r="AJ120" i="17"/>
  <c r="AJ119" i="17"/>
  <c r="AL106" i="17"/>
  <c r="AM106" i="17"/>
  <c r="AL107" i="17"/>
  <c r="AM107" i="17"/>
  <c r="AL108" i="17"/>
  <c r="AM108" i="17"/>
  <c r="AL109" i="17"/>
  <c r="AM109" i="17"/>
  <c r="AL110" i="17"/>
  <c r="AM110" i="17"/>
  <c r="AL112" i="17"/>
  <c r="AM112" i="17"/>
  <c r="AM105" i="17"/>
  <c r="AL105" i="17"/>
  <c r="AM104" i="17"/>
  <c r="AL104" i="17"/>
  <c r="AM103" i="17"/>
  <c r="AL103" i="17"/>
  <c r="AM102" i="17"/>
  <c r="AL102" i="17"/>
  <c r="AM101" i="17"/>
  <c r="AL101" i="17"/>
  <c r="AO112" i="17"/>
  <c r="AO110" i="17"/>
  <c r="AO109" i="17"/>
  <c r="AO108" i="17"/>
  <c r="AO107" i="17"/>
  <c r="AO106" i="17"/>
  <c r="AO105" i="17"/>
  <c r="AO104" i="17"/>
  <c r="AO103" i="17"/>
  <c r="AO102" i="17"/>
  <c r="AO101" i="17"/>
  <c r="AJ112" i="17"/>
  <c r="AJ110" i="17"/>
  <c r="AJ109" i="17"/>
  <c r="AJ108" i="17"/>
  <c r="AJ107" i="17"/>
  <c r="AJ106" i="17"/>
  <c r="AJ105" i="17"/>
  <c r="AJ104" i="17"/>
  <c r="AJ103" i="17"/>
  <c r="AJ102" i="17"/>
  <c r="AJ101" i="17"/>
  <c r="AK93" i="17"/>
  <c r="AN93" i="17"/>
  <c r="AP93" i="17"/>
  <c r="AK87" i="17"/>
  <c r="AN87" i="17"/>
  <c r="AP87" i="17"/>
  <c r="AM92" i="17"/>
  <c r="AL92" i="17"/>
  <c r="AM91" i="17"/>
  <c r="AL91" i="17"/>
  <c r="AM90" i="17"/>
  <c r="AL90" i="17"/>
  <c r="AM89" i="17"/>
  <c r="AL89" i="17"/>
  <c r="AM88" i="17"/>
  <c r="AL88" i="17"/>
  <c r="AL93" i="17"/>
  <c r="AO92" i="17"/>
  <c r="AO91" i="17"/>
  <c r="AO90" i="17"/>
  <c r="AO89" i="17"/>
  <c r="AO88" i="17"/>
  <c r="AJ92" i="17"/>
  <c r="AJ91" i="17"/>
  <c r="AJ90" i="17"/>
  <c r="AJ89" i="17"/>
  <c r="AJ88" i="17"/>
  <c r="AM86" i="17"/>
  <c r="AL86" i="17"/>
  <c r="AM85" i="17"/>
  <c r="AL85" i="17"/>
  <c r="AM84" i="17"/>
  <c r="AL84" i="17"/>
  <c r="AM83" i="17"/>
  <c r="AL83" i="17"/>
  <c r="AO86" i="17"/>
  <c r="AO85" i="17"/>
  <c r="AO84" i="17"/>
  <c r="AO83" i="17"/>
  <c r="AJ86" i="17"/>
  <c r="AJ85" i="17"/>
  <c r="AJ84" i="17"/>
  <c r="AJ83" i="17"/>
  <c r="AM78" i="17"/>
  <c r="AL78" i="17"/>
  <c r="AM77" i="17"/>
  <c r="AL77" i="17"/>
  <c r="AM76" i="17"/>
  <c r="AL76" i="17"/>
  <c r="AM75" i="17"/>
  <c r="AL75" i="17"/>
  <c r="AO78" i="17"/>
  <c r="AO77" i="17"/>
  <c r="AO76" i="17"/>
  <c r="AO75" i="17"/>
  <c r="AO74" i="17"/>
  <c r="AJ74" i="17"/>
  <c r="AJ75" i="17"/>
  <c r="AJ76" i="17"/>
  <c r="AJ77" i="17"/>
  <c r="AJ78" i="17"/>
  <c r="AK73" i="17"/>
  <c r="AK79" i="17"/>
  <c r="AN73" i="17"/>
  <c r="AN79" i="17"/>
  <c r="AP73" i="17"/>
  <c r="AP79" i="17"/>
  <c r="AM74" i="17"/>
  <c r="AL74" i="17"/>
  <c r="AM72" i="17"/>
  <c r="AL72" i="17"/>
  <c r="AM71" i="17"/>
  <c r="AL71" i="17"/>
  <c r="AM70" i="17"/>
  <c r="AL70" i="17"/>
  <c r="AM69" i="17"/>
  <c r="AL69" i="17"/>
  <c r="AM68" i="17"/>
  <c r="AL68" i="17"/>
  <c r="AM67" i="17"/>
  <c r="AL67" i="17"/>
  <c r="AM66" i="17"/>
  <c r="AL66" i="17"/>
  <c r="AO72" i="17"/>
  <c r="AO71" i="17"/>
  <c r="AO70" i="17"/>
  <c r="AO69" i="17"/>
  <c r="AO68" i="17"/>
  <c r="AO67" i="17"/>
  <c r="AO66" i="17"/>
  <c r="AJ72" i="17"/>
  <c r="AJ71" i="17"/>
  <c r="AJ70" i="17"/>
  <c r="AJ69" i="17"/>
  <c r="AJ68" i="17"/>
  <c r="AJ67" i="17"/>
  <c r="AJ66" i="17"/>
  <c r="AK62" i="17"/>
  <c r="AN62" i="17"/>
  <c r="AP62" i="17"/>
  <c r="AM61" i="17"/>
  <c r="AL61" i="17"/>
  <c r="AM60" i="17"/>
  <c r="AL60" i="17"/>
  <c r="AM59" i="17"/>
  <c r="AL59" i="17"/>
  <c r="AM58" i="17"/>
  <c r="AL58" i="17"/>
  <c r="AO61" i="17"/>
  <c r="AO60" i="17"/>
  <c r="AO59" i="17"/>
  <c r="AO58" i="17"/>
  <c r="AJ61" i="17"/>
  <c r="AJ60" i="17"/>
  <c r="AJ59" i="17"/>
  <c r="AJ58" i="17"/>
  <c r="AK35" i="17"/>
  <c r="AN35" i="17"/>
  <c r="AP35" i="17"/>
  <c r="AJ53" i="17"/>
  <c r="AJ52" i="17"/>
  <c r="AJ49" i="17"/>
  <c r="AJ47" i="17"/>
  <c r="AJ46" i="17"/>
  <c r="AJ44" i="17"/>
  <c r="AJ43" i="17"/>
  <c r="AJ42" i="17"/>
  <c r="AJ39" i="17"/>
  <c r="AO53" i="17"/>
  <c r="AO52" i="17"/>
  <c r="AO49" i="17"/>
  <c r="AO47" i="17"/>
  <c r="AO46" i="17"/>
  <c r="AO44" i="17"/>
  <c r="AO43" i="17"/>
  <c r="AO42" i="17"/>
  <c r="AO39" i="17"/>
  <c r="AM53" i="17"/>
  <c r="AL53" i="17"/>
  <c r="AM52" i="17"/>
  <c r="AL52" i="17"/>
  <c r="AM49" i="17"/>
  <c r="AL49" i="17"/>
  <c r="AM47" i="17"/>
  <c r="AL47" i="17"/>
  <c r="AM46" i="17"/>
  <c r="AL46" i="17"/>
  <c r="AM44" i="17"/>
  <c r="AL44" i="17"/>
  <c r="AM43" i="17"/>
  <c r="AL43" i="17"/>
  <c r="AM42" i="17"/>
  <c r="AL42" i="17"/>
  <c r="AM39" i="17"/>
  <c r="AL39" i="17"/>
  <c r="AM34" i="17"/>
  <c r="AL34" i="17"/>
  <c r="AM33" i="17"/>
  <c r="AL33" i="17"/>
  <c r="AM32" i="17"/>
  <c r="AL32" i="17"/>
  <c r="AM31" i="17"/>
  <c r="AL31" i="17"/>
  <c r="AM30" i="17"/>
  <c r="AL30" i="17"/>
  <c r="AM29" i="17"/>
  <c r="AL29" i="17"/>
  <c r="AM28" i="17"/>
  <c r="AL28" i="17"/>
  <c r="AM27" i="17"/>
  <c r="AL27" i="17"/>
  <c r="AM26" i="17"/>
  <c r="AL26" i="17"/>
  <c r="AM25" i="17"/>
  <c r="AL25" i="17"/>
  <c r="AO34" i="17"/>
  <c r="AO33" i="17"/>
  <c r="AO32" i="17"/>
  <c r="AO31" i="17"/>
  <c r="AO30" i="17"/>
  <c r="AO29" i="17"/>
  <c r="AO28" i="17"/>
  <c r="AO27" i="17"/>
  <c r="AO26" i="17"/>
  <c r="AO25" i="17"/>
  <c r="AJ34" i="17"/>
  <c r="AJ33" i="17"/>
  <c r="AJ32" i="17"/>
  <c r="AJ31" i="17"/>
  <c r="AJ30" i="17"/>
  <c r="AJ29" i="17"/>
  <c r="AJ28" i="17"/>
  <c r="AJ27" i="17"/>
  <c r="AJ26" i="17"/>
  <c r="AJ25" i="17"/>
  <c r="D8" i="12"/>
  <c r="B76" i="12"/>
  <c r="C8" i="12"/>
  <c r="AM62" i="17"/>
  <c r="AL73" i="17"/>
  <c r="AL79" i="17"/>
  <c r="AM73" i="17"/>
  <c r="AM79" i="17"/>
  <c r="AM93" i="17"/>
  <c r="AO93" i="17"/>
  <c r="AO73" i="17"/>
  <c r="AO79" i="17"/>
  <c r="AO87" i="17"/>
  <c r="AL128" i="17"/>
  <c r="AJ73" i="17"/>
  <c r="AJ79" i="17"/>
  <c r="AO122" i="17"/>
  <c r="AM128" i="17"/>
  <c r="AO62" i="17"/>
  <c r="AJ87" i="17"/>
  <c r="AL87" i="17"/>
  <c r="AL122" i="17"/>
  <c r="AJ62" i="17"/>
  <c r="AL62" i="17"/>
  <c r="AM87" i="17"/>
  <c r="AJ93" i="17"/>
  <c r="AM122" i="17"/>
  <c r="AJ128" i="17"/>
  <c r="AO128" i="17"/>
  <c r="C61" i="12"/>
  <c r="C13" i="12"/>
  <c r="D65" i="12"/>
  <c r="D61" i="12"/>
  <c r="AL54" i="17"/>
  <c r="AM54" i="17"/>
  <c r="AJ54" i="17"/>
  <c r="AN129" i="17"/>
  <c r="AO54" i="17"/>
  <c r="AK129" i="17"/>
  <c r="AL35" i="17"/>
  <c r="AM35" i="17"/>
  <c r="AO35" i="17"/>
  <c r="AJ35" i="17"/>
  <c r="C25" i="12"/>
  <c r="B59" i="12"/>
  <c r="B11" i="12"/>
  <c r="B27" i="12"/>
  <c r="B63" i="12"/>
  <c r="B42" i="12"/>
  <c r="B55" i="12"/>
  <c r="B15" i="12"/>
  <c r="B38" i="12"/>
  <c r="B51" i="12"/>
  <c r="B23" i="12"/>
  <c r="B14" i="12"/>
  <c r="B34" i="12"/>
  <c r="B47" i="12"/>
  <c r="B30" i="12"/>
  <c r="B31" i="12"/>
  <c r="B70" i="12"/>
  <c r="B26" i="12"/>
  <c r="B43" i="12"/>
  <c r="B46" i="12"/>
  <c r="B66" i="12"/>
  <c r="B22" i="12"/>
  <c r="B39" i="12"/>
  <c r="B35" i="12"/>
  <c r="B71" i="12"/>
  <c r="B19" i="12"/>
  <c r="B62" i="12"/>
  <c r="B18" i="12"/>
  <c r="B58" i="12"/>
  <c r="B10" i="12"/>
  <c r="B54" i="12"/>
  <c r="B50" i="12"/>
  <c r="B67" i="12"/>
  <c r="D69" i="12"/>
  <c r="D29" i="12"/>
  <c r="D33" i="12"/>
  <c r="C33" i="12"/>
  <c r="C53" i="12"/>
  <c r="C29" i="12"/>
  <c r="D41" i="12"/>
  <c r="D45" i="12"/>
  <c r="D13" i="12"/>
  <c r="D25" i="12"/>
  <c r="D53" i="12"/>
  <c r="C65" i="12"/>
  <c r="C69" i="12"/>
  <c r="C41" i="12"/>
  <c r="C45" i="12"/>
  <c r="AL8" i="17"/>
  <c r="AM8" i="17"/>
  <c r="AL9" i="17"/>
  <c r="AM9" i="17"/>
  <c r="AL10" i="17"/>
  <c r="AM10" i="17"/>
  <c r="AL11" i="17"/>
  <c r="AM11" i="17"/>
  <c r="AL12" i="17"/>
  <c r="AM12" i="17"/>
  <c r="AL13" i="17"/>
  <c r="AM13" i="17"/>
  <c r="AL14" i="17"/>
  <c r="AM14" i="17"/>
  <c r="AL15" i="17"/>
  <c r="AM15" i="17"/>
  <c r="AL17" i="17"/>
  <c r="AM17" i="17"/>
  <c r="AM7" i="17"/>
  <c r="AL7" i="17"/>
  <c r="AO17" i="17"/>
  <c r="AO15" i="17"/>
  <c r="AO14" i="17"/>
  <c r="AO13" i="17"/>
  <c r="AO12" i="17"/>
  <c r="AO11" i="17"/>
  <c r="AO10" i="17"/>
  <c r="AO9" i="17"/>
  <c r="AO8" i="17"/>
  <c r="AO7" i="17"/>
  <c r="AJ8" i="17"/>
  <c r="AJ9" i="17"/>
  <c r="AJ10" i="17"/>
  <c r="AJ11" i="17"/>
  <c r="AJ12" i="17"/>
  <c r="AJ13" i="17"/>
  <c r="AJ14" i="17"/>
  <c r="AJ15" i="17"/>
  <c r="AJ17" i="17"/>
  <c r="AJ7" i="17"/>
  <c r="D50" i="14"/>
  <c r="C50" i="14"/>
  <c r="C157" i="17"/>
  <c r="D157" i="17"/>
  <c r="E157" i="17"/>
  <c r="F157" i="17"/>
  <c r="G157" i="17"/>
  <c r="H157" i="17"/>
  <c r="I157" i="17"/>
  <c r="J157" i="17"/>
  <c r="K157" i="17"/>
  <c r="L157" i="17"/>
  <c r="M157" i="17"/>
  <c r="N157" i="17"/>
  <c r="O157" i="17"/>
  <c r="P157" i="17"/>
  <c r="Q157" i="17"/>
  <c r="R157" i="17"/>
  <c r="S157" i="17"/>
  <c r="T157" i="17"/>
  <c r="U157" i="17"/>
  <c r="V157" i="17"/>
  <c r="W157" i="17"/>
  <c r="X157" i="17"/>
  <c r="Y157" i="17"/>
  <c r="Z157" i="17"/>
  <c r="AA157" i="17"/>
  <c r="AB157" i="17"/>
  <c r="AC157" i="17"/>
  <c r="AD157" i="17"/>
  <c r="AE157" i="17"/>
  <c r="AF157" i="17"/>
  <c r="AG157" i="17"/>
  <c r="B157" i="17"/>
  <c r="D9" i="14"/>
  <c r="C9" i="14"/>
  <c r="D45" i="14"/>
  <c r="C45" i="14"/>
  <c r="D37" i="14"/>
  <c r="C37" i="14"/>
  <c r="D29" i="14"/>
  <c r="C29" i="14"/>
  <c r="D25" i="14"/>
  <c r="C25" i="14"/>
  <c r="D21" i="14"/>
  <c r="C21" i="14"/>
  <c r="D17" i="14"/>
  <c r="C17" i="14"/>
  <c r="D13" i="14"/>
  <c r="D8" i="13"/>
  <c r="C8" i="13"/>
  <c r="D8" i="11"/>
  <c r="C8" i="11"/>
  <c r="C36" i="11"/>
  <c r="D8" i="10"/>
  <c r="D13" i="10"/>
  <c r="C8" i="10"/>
  <c r="C13" i="10"/>
  <c r="AO129" i="17"/>
  <c r="B32" i="13"/>
  <c r="B33" i="10"/>
  <c r="D31" i="10"/>
  <c r="B32" i="10"/>
  <c r="C31" i="10"/>
  <c r="D50" i="11"/>
  <c r="B59" i="11"/>
  <c r="D48" i="10"/>
  <c r="B64" i="10"/>
  <c r="B83" i="10"/>
  <c r="B101" i="10"/>
  <c r="AM129" i="17"/>
  <c r="AL129" i="17"/>
  <c r="D63" i="21"/>
  <c r="C21" i="13"/>
  <c r="B23" i="13"/>
  <c r="B19" i="13"/>
  <c r="B15" i="13"/>
  <c r="B11" i="13"/>
  <c r="B27" i="13"/>
  <c r="C48" i="10"/>
  <c r="B45" i="10"/>
  <c r="B76" i="10"/>
  <c r="B41" i="10"/>
  <c r="B56" i="10"/>
  <c r="B72" i="10"/>
  <c r="B37" i="10"/>
  <c r="B68" i="10"/>
  <c r="B29" i="10"/>
  <c r="B25" i="10"/>
  <c r="B17" i="10"/>
  <c r="B60" i="10"/>
  <c r="B21" i="10"/>
  <c r="B52" i="10"/>
  <c r="C50" i="11"/>
  <c r="D62" i="12"/>
  <c r="D11" i="21"/>
  <c r="D63" i="12"/>
  <c r="B44" i="10"/>
  <c r="B10" i="13"/>
  <c r="B51" i="10"/>
  <c r="B18" i="13"/>
  <c r="B59" i="10"/>
  <c r="C17" i="13"/>
  <c r="B22" i="13"/>
  <c r="B26" i="13"/>
  <c r="C13" i="13"/>
  <c r="C14" i="11"/>
  <c r="C25" i="13"/>
  <c r="B28" i="10"/>
  <c r="B55" i="10"/>
  <c r="B14" i="13"/>
  <c r="B63" i="10"/>
  <c r="B10" i="10"/>
  <c r="B16" i="10"/>
  <c r="B71" i="10"/>
  <c r="B20" i="10"/>
  <c r="B75" i="10"/>
  <c r="B67" i="10"/>
  <c r="B24" i="10"/>
  <c r="D19" i="12"/>
  <c r="D18" i="12"/>
  <c r="D10" i="21"/>
  <c r="B36" i="10"/>
  <c r="B40" i="10"/>
  <c r="D17" i="13"/>
  <c r="D21" i="13"/>
  <c r="D14" i="11"/>
  <c r="D25" i="13"/>
  <c r="D36" i="11"/>
  <c r="D13" i="13"/>
  <c r="D41" i="14"/>
  <c r="D33" i="10"/>
  <c r="D32" i="10"/>
  <c r="B25" i="11"/>
  <c r="B48" i="11"/>
  <c r="B11" i="11"/>
  <c r="B44" i="11"/>
  <c r="B40" i="11"/>
  <c r="B22" i="11"/>
  <c r="B34" i="11"/>
  <c r="B30" i="11"/>
  <c r="B26" i="11"/>
  <c r="B54" i="11"/>
  <c r="B18" i="11"/>
  <c r="B43" i="11"/>
  <c r="C20" i="11"/>
  <c r="B10" i="11"/>
  <c r="B33" i="11"/>
  <c r="C38" i="11"/>
  <c r="C42" i="11"/>
  <c r="C32" i="11"/>
  <c r="C52" i="11"/>
  <c r="B53" i="11"/>
  <c r="B47" i="11"/>
  <c r="B21" i="11"/>
  <c r="B39" i="11"/>
  <c r="C24" i="11"/>
  <c r="B29" i="11"/>
  <c r="C28" i="11"/>
  <c r="B17" i="11"/>
  <c r="D38" i="11"/>
  <c r="D32" i="11"/>
  <c r="D42" i="11"/>
  <c r="D28" i="11"/>
  <c r="D24" i="11"/>
  <c r="D20" i="11"/>
  <c r="C46" i="11"/>
  <c r="D46" i="11"/>
  <c r="D58" i="10"/>
  <c r="C58" i="10"/>
  <c r="D70" i="10"/>
  <c r="C70" i="10"/>
  <c r="D74" i="10"/>
  <c r="C74" i="10"/>
  <c r="C62" i="10"/>
  <c r="D62" i="10"/>
  <c r="C39" i="10"/>
  <c r="C54" i="10"/>
  <c r="D54" i="10"/>
  <c r="C19" i="10"/>
  <c r="D43" i="10"/>
  <c r="C43" i="10"/>
  <c r="D39" i="10"/>
  <c r="C27" i="10"/>
  <c r="D19" i="10"/>
  <c r="D27" i="10"/>
  <c r="C23" i="10"/>
  <c r="D23" i="10"/>
  <c r="D24" i="10"/>
  <c r="D63" i="10"/>
  <c r="D64" i="10"/>
  <c r="E39" i="26"/>
  <c r="E42" i="26"/>
  <c r="E37" i="26"/>
  <c r="D29" i="21"/>
  <c r="D16" i="9"/>
  <c r="C16" i="9"/>
  <c r="D9" i="9"/>
  <c r="C9" i="9"/>
  <c r="AI135" i="17"/>
  <c r="AI128" i="17"/>
  <c r="AK96" i="17"/>
  <c r="AK97" i="17"/>
  <c r="AI96" i="17"/>
  <c r="AI93" i="17"/>
  <c r="AI87" i="17"/>
  <c r="AI62" i="17"/>
  <c r="B93" i="9"/>
  <c r="B84" i="9"/>
  <c r="B79" i="9"/>
  <c r="B13" i="9"/>
  <c r="B72" i="9"/>
  <c r="B49" i="9"/>
  <c r="B65" i="9"/>
  <c r="B45" i="9"/>
  <c r="B61" i="9"/>
  <c r="B37" i="9"/>
  <c r="B57" i="9"/>
  <c r="B33" i="9"/>
  <c r="B53" i="9"/>
  <c r="B29" i="9"/>
  <c r="B25" i="9"/>
  <c r="B21" i="9"/>
  <c r="D67" i="9"/>
  <c r="D70" i="9"/>
  <c r="AJ96" i="17"/>
  <c r="D51" i="9"/>
  <c r="D55" i="9"/>
  <c r="D43" i="9"/>
  <c r="D59" i="9"/>
  <c r="D40" i="9"/>
  <c r="D47" i="9"/>
  <c r="B78" i="9"/>
  <c r="B32" i="9"/>
  <c r="B71" i="9"/>
  <c r="B28" i="9"/>
  <c r="B52" i="9"/>
  <c r="B36" i="9"/>
  <c r="B64" i="9"/>
  <c r="B24" i="9"/>
  <c r="B60" i="9"/>
  <c r="B48" i="9"/>
  <c r="B56" i="9"/>
  <c r="B44" i="9"/>
  <c r="B12" i="9"/>
  <c r="B20" i="9"/>
  <c r="C59" i="9"/>
  <c r="C55" i="9"/>
  <c r="C43" i="9"/>
  <c r="C51" i="9"/>
  <c r="C47" i="9"/>
  <c r="C19" i="9"/>
  <c r="C23" i="9"/>
  <c r="AJ94" i="17"/>
  <c r="AJ97" i="17"/>
  <c r="D63" i="9"/>
  <c r="C63" i="9"/>
  <c r="D31" i="9"/>
  <c r="D27" i="9"/>
  <c r="D23" i="9"/>
  <c r="D19" i="9"/>
  <c r="C40" i="9"/>
  <c r="D11" i="9"/>
  <c r="D35" i="9"/>
  <c r="C67" i="9"/>
  <c r="C70" i="9"/>
  <c r="C27" i="9"/>
  <c r="C31" i="9"/>
  <c r="C11" i="9"/>
  <c r="C35" i="9"/>
  <c r="D59" i="14"/>
  <c r="D56" i="14"/>
  <c r="D52" i="14"/>
  <c r="D60" i="14"/>
  <c r="D23" i="12"/>
  <c r="D22" i="12"/>
  <c r="E14" i="26"/>
  <c r="D39" i="12"/>
  <c r="D38" i="12"/>
  <c r="E17" i="26"/>
  <c r="D55" i="14"/>
  <c r="E77" i="26"/>
  <c r="D51" i="14"/>
  <c r="E78" i="26"/>
  <c r="D12" i="21"/>
  <c r="D9" i="21"/>
  <c r="D35" i="16"/>
  <c r="D34" i="16"/>
  <c r="D31" i="16"/>
  <c r="D30" i="16"/>
  <c r="D27" i="16"/>
  <c r="D26" i="16"/>
  <c r="D62" i="21"/>
  <c r="D23" i="16"/>
  <c r="D22" i="16"/>
  <c r="D61" i="21"/>
  <c r="D19" i="16"/>
  <c r="D18" i="16"/>
  <c r="D60" i="21"/>
  <c r="D15" i="16"/>
  <c r="D14" i="16"/>
  <c r="D59" i="21"/>
  <c r="D11" i="16"/>
  <c r="D10" i="16"/>
  <c r="D58" i="21"/>
  <c r="D14" i="14"/>
  <c r="D15" i="14"/>
  <c r="D18" i="14"/>
  <c r="D19" i="14"/>
  <c r="D22" i="14"/>
  <c r="D55" i="21"/>
  <c r="D23" i="14"/>
  <c r="D26" i="14"/>
  <c r="D56" i="21"/>
  <c r="D27" i="14"/>
  <c r="D30" i="14"/>
  <c r="D31" i="14"/>
  <c r="D38" i="14"/>
  <c r="D39" i="14"/>
  <c r="D46" i="14"/>
  <c r="D57" i="21"/>
  <c r="D47" i="14"/>
  <c r="C9" i="13"/>
  <c r="D9" i="13"/>
  <c r="D14" i="13"/>
  <c r="D15" i="13"/>
  <c r="D18" i="13"/>
  <c r="D19" i="13"/>
  <c r="D22" i="13"/>
  <c r="D23" i="13"/>
  <c r="D26" i="13"/>
  <c r="E48" i="26"/>
  <c r="D27" i="13"/>
  <c r="C9" i="12"/>
  <c r="D9" i="12"/>
  <c r="D14" i="12"/>
  <c r="E13" i="26"/>
  <c r="D15" i="12"/>
  <c r="D26" i="12"/>
  <c r="D27" i="12"/>
  <c r="D30" i="12"/>
  <c r="D31" i="12"/>
  <c r="D34" i="12"/>
  <c r="E16" i="26"/>
  <c r="D35" i="12"/>
  <c r="D42" i="12"/>
  <c r="E18" i="26"/>
  <c r="D43" i="12"/>
  <c r="D46" i="12"/>
  <c r="E19" i="26"/>
  <c r="D47" i="12"/>
  <c r="D54" i="12"/>
  <c r="E21" i="26"/>
  <c r="D55" i="12"/>
  <c r="D66" i="12"/>
  <c r="D67" i="12"/>
  <c r="D70" i="12"/>
  <c r="D18" i="21"/>
  <c r="D71" i="12"/>
  <c r="C16" i="11"/>
  <c r="C9" i="11"/>
  <c r="D16" i="11"/>
  <c r="D21" i="11"/>
  <c r="E67" i="26"/>
  <c r="D22" i="11"/>
  <c r="D25" i="11"/>
  <c r="E68" i="26"/>
  <c r="D26" i="11"/>
  <c r="D29" i="11"/>
  <c r="E69" i="26"/>
  <c r="D30" i="11"/>
  <c r="D33" i="11"/>
  <c r="D46" i="21"/>
  <c r="D34" i="11"/>
  <c r="D40" i="11"/>
  <c r="D39" i="11"/>
  <c r="E65" i="26"/>
  <c r="D43" i="11"/>
  <c r="D39" i="21"/>
  <c r="D44" i="11"/>
  <c r="D47" i="11"/>
  <c r="D40" i="21"/>
  <c r="D48" i="11"/>
  <c r="D20" i="10"/>
  <c r="D21" i="10"/>
  <c r="D27" i="21"/>
  <c r="D25" i="10"/>
  <c r="D28" i="10"/>
  <c r="D28" i="21"/>
  <c r="D29" i="10"/>
  <c r="C35" i="10"/>
  <c r="C15" i="10"/>
  <c r="D35" i="10"/>
  <c r="D15" i="10"/>
  <c r="D40" i="10"/>
  <c r="D41" i="10"/>
  <c r="D44" i="10"/>
  <c r="D45" i="10"/>
  <c r="D55" i="10"/>
  <c r="D56" i="10"/>
  <c r="D59" i="10"/>
  <c r="D60" i="10"/>
  <c r="C66" i="10"/>
  <c r="C50" i="10"/>
  <c r="D66" i="10"/>
  <c r="D50" i="10"/>
  <c r="D71" i="10"/>
  <c r="D72" i="10"/>
  <c r="D75" i="10"/>
  <c r="D76" i="10"/>
  <c r="D12" i="9"/>
  <c r="D13" i="9"/>
  <c r="D20" i="9"/>
  <c r="D21" i="9"/>
  <c r="D24" i="9"/>
  <c r="D25" i="9"/>
  <c r="D28" i="9"/>
  <c r="D29" i="9"/>
  <c r="D32" i="9"/>
  <c r="D33" i="9"/>
  <c r="D36" i="9"/>
  <c r="D37" i="9"/>
  <c r="D44" i="9"/>
  <c r="D45" i="9"/>
  <c r="D48" i="9"/>
  <c r="D49" i="9"/>
  <c r="D52" i="9"/>
  <c r="D53" i="9"/>
  <c r="D56" i="9"/>
  <c r="D57" i="9"/>
  <c r="D60" i="9"/>
  <c r="D61" i="9"/>
  <c r="D64" i="9"/>
  <c r="D65" i="9"/>
  <c r="D71" i="9"/>
  <c r="D72" i="9"/>
  <c r="D78" i="9"/>
  <c r="D79" i="9"/>
  <c r="C93" i="9"/>
  <c r="E29" i="26"/>
  <c r="E53" i="26"/>
  <c r="E82" i="26"/>
  <c r="E28" i="26"/>
  <c r="E81" i="26"/>
  <c r="E52" i="26"/>
  <c r="E51" i="26"/>
  <c r="E80" i="26"/>
  <c r="E54" i="26"/>
  <c r="E83" i="26"/>
  <c r="E5" i="26"/>
  <c r="E10" i="26"/>
  <c r="E57" i="26"/>
  <c r="E61" i="26"/>
  <c r="E25" i="26"/>
  <c r="E4" i="26"/>
  <c r="E56" i="26"/>
  <c r="E60" i="26"/>
  <c r="E71" i="26"/>
  <c r="E79" i="26"/>
  <c r="E9" i="26"/>
  <c r="E36" i="26"/>
  <c r="E38" i="26"/>
  <c r="E41" i="26"/>
  <c r="E24" i="26"/>
  <c r="E15" i="26"/>
  <c r="E34" i="26"/>
  <c r="E63" i="26"/>
  <c r="E35" i="26"/>
  <c r="E23" i="26"/>
  <c r="E49" i="26"/>
  <c r="E50" i="26"/>
  <c r="E32" i="26"/>
  <c r="E46" i="26"/>
  <c r="E86" i="26"/>
  <c r="E33" i="26"/>
  <c r="E47" i="26"/>
  <c r="E85" i="26"/>
  <c r="E31" i="26"/>
  <c r="E45" i="26"/>
  <c r="E26" i="26"/>
  <c r="E76" i="26"/>
  <c r="E4" i="22"/>
  <c r="D54" i="21"/>
  <c r="E3" i="22"/>
  <c r="D53" i="21"/>
  <c r="D23" i="21"/>
  <c r="D44" i="21"/>
  <c r="D13" i="21"/>
  <c r="D7" i="21"/>
  <c r="D5" i="21"/>
  <c r="D49" i="21"/>
  <c r="D32" i="21"/>
  <c r="D51" i="21"/>
  <c r="D38" i="21"/>
  <c r="D43" i="21"/>
  <c r="D15" i="21"/>
  <c r="D8" i="21"/>
  <c r="D6" i="21"/>
  <c r="D4" i="21"/>
  <c r="D22" i="21"/>
  <c r="D45" i="21"/>
  <c r="D26" i="21"/>
  <c r="D48" i="21"/>
  <c r="D33" i="21"/>
  <c r="D17" i="21"/>
  <c r="D50" i="21"/>
  <c r="D20" i="21"/>
  <c r="D19" i="21"/>
  <c r="C84" i="9"/>
  <c r="D21" i="21"/>
  <c r="D59" i="12"/>
  <c r="D58" i="12"/>
  <c r="E22" i="26"/>
  <c r="D51" i="12"/>
  <c r="D50" i="12"/>
  <c r="E20" i="26"/>
  <c r="D10" i="12"/>
  <c r="D10" i="13"/>
  <c r="C32" i="13"/>
  <c r="C9" i="10"/>
  <c r="D68" i="10"/>
  <c r="D67" i="10"/>
  <c r="D17" i="10"/>
  <c r="D16" i="10"/>
  <c r="D37" i="10"/>
  <c r="D17" i="11"/>
  <c r="E66" i="26"/>
  <c r="D18" i="11"/>
  <c r="D11" i="12"/>
  <c r="D11" i="13"/>
  <c r="D36" i="10"/>
  <c r="E40" i="26"/>
  <c r="D3" i="21"/>
  <c r="C76" i="12"/>
  <c r="E27" i="26"/>
  <c r="E7" i="26"/>
  <c r="E12" i="26"/>
  <c r="E43" i="26"/>
  <c r="E6" i="26"/>
  <c r="E58" i="26"/>
  <c r="E11" i="26"/>
  <c r="E62" i="26"/>
  <c r="E30" i="26"/>
  <c r="E84" i="26"/>
  <c r="E70" i="26"/>
  <c r="E44" i="26"/>
  <c r="D42" i="21"/>
  <c r="D47" i="21"/>
  <c r="D16" i="21"/>
  <c r="D14" i="21"/>
  <c r="D36" i="21"/>
  <c r="D34" i="21"/>
  <c r="D30" i="21"/>
  <c r="D35" i="21"/>
  <c r="C83" i="10"/>
  <c r="D25" i="21"/>
  <c r="D51" i="10"/>
  <c r="D9" i="10"/>
  <c r="D10" i="10"/>
  <c r="D24" i="21"/>
  <c r="E3" i="26"/>
  <c r="E59" i="26"/>
  <c r="E8" i="26"/>
  <c r="E55" i="26"/>
  <c r="C101" i="10"/>
  <c r="D31" i="21"/>
  <c r="D11" i="14"/>
  <c r="D10" i="14"/>
  <c r="C41" i="14"/>
  <c r="D43" i="14"/>
  <c r="D52" i="21"/>
  <c r="C64" i="14"/>
  <c r="D42" i="14"/>
  <c r="AN96" i="17"/>
  <c r="AN97" i="17"/>
  <c r="AP96" i="17"/>
  <c r="AP97" i="17"/>
  <c r="AL96" i="17"/>
  <c r="AM96" i="17"/>
  <c r="AO96" i="17"/>
  <c r="D52" i="11"/>
  <c r="D9" i="11"/>
  <c r="AO94" i="17"/>
  <c r="AO97" i="17"/>
  <c r="AM94" i="17"/>
  <c r="AM97" i="17"/>
  <c r="AL94" i="17"/>
  <c r="AL97" i="17"/>
  <c r="D54" i="11"/>
  <c r="D53" i="11"/>
  <c r="D41" i="21"/>
  <c r="D10" i="11"/>
  <c r="D11" i="11"/>
  <c r="C59" i="11"/>
  <c r="E64" i="26"/>
  <c r="D37" i="21"/>
  <c r="AJ122" i="17"/>
  <c r="AJ129" i="17"/>
  <c r="AI122" i="17"/>
  <c r="AI129" i="17"/>
</calcChain>
</file>

<file path=xl/sharedStrings.xml><?xml version="1.0" encoding="utf-8"?>
<sst xmlns="http://schemas.openxmlformats.org/spreadsheetml/2006/main" count="1681" uniqueCount="485">
  <si>
    <t>Explication des onglets et FAQ (cet onglet sera enrichi progressivement via les retours des consultations)</t>
  </si>
  <si>
    <t>Onglet "Choix années"</t>
  </si>
  <si>
    <t>Cet onglet permet de choisir les années de référence et les années cibles sur lesquelles l'entreprise souhaite baser sa trajectoire. Il est à remplir en premier lors de l'utilisation de ce document. 
Le changement des années cibles et des années de référence fait varier les trajectoires en absolu présentes dans les autres onglets. 
Les données en intensité présentes dans les onglets sectoriels sont elles uniquement disponibles pour 2019 et 2030 et ne varient pas.
Cette version du projet de guide étant basée sur le projet de SNBC à horizon 2030, il n'est pas possible de sélectionner des années post-2030, la version définitive du guide qui sortira avec la SNBC 3 intégrera des trajectoires jusqu'en 2050.</t>
  </si>
  <si>
    <t>Onglet "Scope 1"</t>
  </si>
  <si>
    <t>Cet onglet correspond à la comparaison à effectuer entre les émissions du scope 1 d'une entreprise et les trajectoires sectorielles. Les émissions du scope 1 correspondent aux émissions du secteur de la SNBC de l'entreprise, sauf quelques cas particuliers expliqués dans le corps du guide.
L'entreprise doit sélectionner dans le tableau le ou les catégories de son activité, et comparer ses émissions directes aux trajectoires proposées. 
Lors du choix de la catégorie d'entreprise, le tableau peut proposer plusieurs trajectoires en fonction de la précision recherchée. Par exemple s'il est choisi une entreprise de transport, alors, une trajectoire générale pour les transports sera proposée, mais également des sous-trajectoires (aérien, poids lourds...). L'objectif est en effet, lorsque c'est possible, de comparer les émissions à la trajectoire la plus précise disponible. Ce principe est également vrai pour l'onglet "Scope 3".</t>
  </si>
  <si>
    <t>Onglet "Scope 2"</t>
  </si>
  <si>
    <t xml:space="preserve">Le scope 2 correspond uniquement à deux postes d'émissions qui peuvent être communs à tous types d'entreprises, ils doivent donc toujours être étudiés. </t>
  </si>
  <si>
    <t>Onglet "Scope 3"</t>
  </si>
  <si>
    <t xml:space="preserve">Le scope 3 correspond aux émissions indirectes de la chaine de valeur de l'entreprise. Le but de cet onglet est de proposer de manière non exhaustive des appariements souvent observés entre catégories d'entreprises et postes d'émissions du scope 3 souvent significatifs. L'entreprise pourra ainsi s'appuyer sur cet onglet pour la définition d'une trajectoire sur les émissions de son scope 3.
L'entreprise doit là encore sélectionner sa ou ses catégories d'activité, à noter toutefois qu'elle doit également toujours sélectionner en plus la catégorie "Tous secteurs / tertiaire" qui fait apparaitre des postes pouvant toujours être significatifs quelque soit la catégorie d'entreprise.  </t>
  </si>
  <si>
    <t>Onglet "Leviers"</t>
  </si>
  <si>
    <t xml:space="preserve">Cet onglet regroupe les leviers et les hypothèses sectoriels présents dans le projet de SNBC à horizon 2030. Il permet à une entreprise, en plus de ses trajectoires GES, de vérifier que son activité et son plan de transition sont bien en phase avec les hypothèses physiques de la SNBC. L'entreprise devra choisir dans le tableau les thématiques principales de sa chaine de valeur afin de faire apparaitre les leviers correspondants. Elle devra sélectionner au moins 3 leviers significatifs et pertinents et vérifier leur cohérence avec ses activités. </t>
  </si>
  <si>
    <t xml:space="preserve">Onglets sectoriels </t>
  </si>
  <si>
    <t>Les onglets suivants sont les onglets sectoriels qui regroupent toutes les trajectoires de la SNBC. Ils servent de base de calcul aux onglets précédents (scopes et leviers). 
Dans ceux-ci se retrouvent notamment les trajectoires GES entre l'année de référence et l'année cible choisies, avec des trajectoires à la fois en tCO2e et en pourcentage, et également la variation annuelle moyenne correspondante. 
Plus bas se retrouvent les leviers et hypothèses physiques de la SNBC présents également dans l'onglet "Leviers", avec à droite de ceux-ci la présentation du poids GES des différents leviers sous forme graphique. 
En dernier point en bas des onglets sectoriels sont présents les objectifs de baisse des émissions de GES en intensité (sauf secteur UTCATF), qui peuvent également être utilisés de manière optionnelle par les entreprises. Ces intensités sont des estimations calculées en scope 1.</t>
  </si>
  <si>
    <t>Onglets "Résultats détaillés GES"</t>
  </si>
  <si>
    <t xml:space="preserve">Cet onglet présente pour information de manière très détaillée les trajectoires et sous-trajectoires GES de la France, en inventaire jusqu'en 2022 (édition 2023 de l'inventaire SECTEN), puis en projections jusqu'en 2030. 
A noter que quelques lignes sont grisées (par exemple celle sur la trajectoire "Sucres") pour indiquer qu'elles ont fait l'objet de recalculs spécifiques à destination de ce guide, et ne font pas partie du périmètre habituel des secteurs pris en compte dans l'inventaire français.  </t>
  </si>
  <si>
    <t>Première étape : Choisir son année de référence et son année cible ci-dessous</t>
  </si>
  <si>
    <t xml:space="preserve">Choix année de référence </t>
  </si>
  <si>
    <t xml:space="preserve">Choix année cible </t>
  </si>
  <si>
    <t>Emissions directes scope 1</t>
  </si>
  <si>
    <t>Catégorie d’entreprise</t>
  </si>
  <si>
    <t>Trajectoires SNBC correspondantes</t>
  </si>
  <si>
    <t xml:space="preserve">Sélectionner la ou les catégories d'activité de l'entreprise </t>
  </si>
  <si>
    <t>Industrie</t>
  </si>
  <si>
    <t>Total industrie (dont CCUS)</t>
  </si>
  <si>
    <t>Industrie chimique</t>
  </si>
  <si>
    <t>Chimie (moyenne)</t>
  </si>
  <si>
    <t>Industrie construction</t>
  </si>
  <si>
    <t>Construction</t>
  </si>
  <si>
    <t xml:space="preserve">Industrie </t>
  </si>
  <si>
    <t xml:space="preserve">Biens d'équipements et matériels de transport (moyenne) </t>
  </si>
  <si>
    <t>Industrie agroalimentaire</t>
  </si>
  <si>
    <t>Agroalimentaire (moyenne)</t>
  </si>
  <si>
    <t>Industrie métallurgie</t>
  </si>
  <si>
    <t>Métallurgie des métaux ferreux</t>
  </si>
  <si>
    <t xml:space="preserve">Industrie chimique </t>
  </si>
  <si>
    <t>Ammoniac</t>
  </si>
  <si>
    <t xml:space="preserve">Hors CCS </t>
  </si>
  <si>
    <t xml:space="preserve">Pétrochime </t>
  </si>
  <si>
    <t xml:space="preserve">Industrie verre </t>
  </si>
  <si>
    <t xml:space="preserve">Verre </t>
  </si>
  <si>
    <t>Sucre</t>
  </si>
  <si>
    <t>Métallurgie des métaux non-ferreux</t>
  </si>
  <si>
    <t>Aluminium</t>
  </si>
  <si>
    <t>Minéraux non-métalliques, matériaux de construction</t>
  </si>
  <si>
    <t>Ciment</t>
  </si>
  <si>
    <t>Industrie papeterie</t>
  </si>
  <si>
    <t>Papier, carton</t>
  </si>
  <si>
    <t>Autres industries manufacturières</t>
  </si>
  <si>
    <t xml:space="preserve">Tertiaire et batiments publics </t>
  </si>
  <si>
    <t xml:space="preserve">Usage du batiment tertiaire </t>
  </si>
  <si>
    <t>Real estate</t>
  </si>
  <si>
    <t xml:space="preserve">Usage du batiment résidentiel </t>
  </si>
  <si>
    <t xml:space="preserve">Artificialisation </t>
  </si>
  <si>
    <t>Total : résidentiel + tertiaire + artificialisation</t>
  </si>
  <si>
    <t>Transport</t>
  </si>
  <si>
    <t>Total transport</t>
  </si>
  <si>
    <t xml:space="preserve">Total transport de passagers </t>
  </si>
  <si>
    <t>Véhicules particuliers</t>
  </si>
  <si>
    <t>Bus et cars</t>
  </si>
  <si>
    <t>Deux roues</t>
  </si>
  <si>
    <t>Transport ferroviaire</t>
  </si>
  <si>
    <t>Transport aérien</t>
  </si>
  <si>
    <t xml:space="preserve">Transport de marchandise </t>
  </si>
  <si>
    <t xml:space="preserve">Total transport de marchandises </t>
  </si>
  <si>
    <t>Poids lourds</t>
  </si>
  <si>
    <t>Véhicules utilitaires légers</t>
  </si>
  <si>
    <t>Transport maritime</t>
  </si>
  <si>
    <t xml:space="preserve">Agriculture </t>
  </si>
  <si>
    <t>Total agriculture (élevage + culture)</t>
  </si>
  <si>
    <t>Total cultures</t>
  </si>
  <si>
    <t>Engrais minéraux</t>
  </si>
  <si>
    <t>Inclus dans total cultures</t>
  </si>
  <si>
    <t>Autres émissions cultures</t>
  </si>
  <si>
    <t>Total engins, moteurs et chaudières en agriculture/sylviculture</t>
  </si>
  <si>
    <t xml:space="preserve">Inclus dans total agriculture </t>
  </si>
  <si>
    <t>Total élevage (moyenne)</t>
  </si>
  <si>
    <t>Elevage bovin</t>
  </si>
  <si>
    <t>Inclus dans total élevage</t>
  </si>
  <si>
    <t>Elevage porcin</t>
  </si>
  <si>
    <t>Elevage volailles</t>
  </si>
  <si>
    <t xml:space="preserve">Autres émissions de l'élevage </t>
  </si>
  <si>
    <t>Gestion des déchets</t>
  </si>
  <si>
    <t>Total déchets</t>
  </si>
  <si>
    <t>Stockage des déchets</t>
  </si>
  <si>
    <t>Incinération sans récupération d'énergie</t>
  </si>
  <si>
    <t>Autres traitements des déchets solides</t>
  </si>
  <si>
    <t>Traitement des eaux usées</t>
  </si>
  <si>
    <t>Production d’énergie</t>
  </si>
  <si>
    <t>Total industrie de l'énergie (dont CCUS)</t>
  </si>
  <si>
    <t>Production d’énergie électrique</t>
  </si>
  <si>
    <t>Production d'électricité</t>
  </si>
  <si>
    <t>Production d’énergie réseau de chaleur / froid</t>
  </si>
  <si>
    <t>Chauffage urbain</t>
  </si>
  <si>
    <t>Production d’énergie pétrole</t>
  </si>
  <si>
    <t>Raffinage du pétrole</t>
  </si>
  <si>
    <t xml:space="preserve">Industrie sidérurgie </t>
  </si>
  <si>
    <t>Transformation des combustibles minéraux solides</t>
  </si>
  <si>
    <t xml:space="preserve">Principalement pour les fours à coke </t>
  </si>
  <si>
    <t>Production d’énergie déchets</t>
  </si>
  <si>
    <t>Valorisation énergétique des déchets</t>
  </si>
  <si>
    <t>Entreprises possédant des terres</t>
  </si>
  <si>
    <t>Total Utilisation des Terres, Changements d'Affectation des Terres et Forêt</t>
  </si>
  <si>
    <t>Forêts</t>
  </si>
  <si>
    <t>Terres cultivées et prairies</t>
  </si>
  <si>
    <t>Zones humides</t>
  </si>
  <si>
    <t>Zones artificialisées</t>
  </si>
  <si>
    <t>Généraliste</t>
  </si>
  <si>
    <t>Trajectoire moyenne nationale (hors UTCATF)</t>
  </si>
  <si>
    <t>Emissions indirectes scope 2</t>
  </si>
  <si>
    <t xml:space="preserve">Indications de postes potentiellement significatifs </t>
  </si>
  <si>
    <t>Tous les secteurs peuvent être concernés par les émissions du scope 2</t>
  </si>
  <si>
    <t>Toutes</t>
  </si>
  <si>
    <t xml:space="preserve">Emissions indirectes liées à la consommation d’électricité </t>
  </si>
  <si>
    <t xml:space="preserve">Hors déchet </t>
  </si>
  <si>
    <t>Emissions indirectes liées à la consommation d'énergie autre que l'électricité</t>
  </si>
  <si>
    <t>Emissions indirectes scope 3</t>
  </si>
  <si>
    <t>Objectif de baisse SNBC  2030 par rapport à 2019</t>
  </si>
  <si>
    <t>Transport de marchandise amont</t>
  </si>
  <si>
    <t>Transport de marchandise aval</t>
  </si>
  <si>
    <t>Achats de biens</t>
  </si>
  <si>
    <t>Chimie</t>
  </si>
  <si>
    <t>Biens d'équipements, matériels de transport</t>
  </si>
  <si>
    <t>Agroalimentaire</t>
  </si>
  <si>
    <t xml:space="preserve">Produits transformés </t>
  </si>
  <si>
    <t xml:space="preserve">Industrie métallurgie </t>
  </si>
  <si>
    <t xml:space="preserve">Industrie construction </t>
  </si>
  <si>
    <t>Dont ciment</t>
  </si>
  <si>
    <t>Industrie papéterie</t>
  </si>
  <si>
    <t>Industrie automobile</t>
  </si>
  <si>
    <t>Utilisation des produits vendus</t>
  </si>
  <si>
    <t xml:space="preserve">Industrie automobile véhicules électriques </t>
  </si>
  <si>
    <t>Industrie aviation</t>
  </si>
  <si>
    <t>Total résidentiel</t>
  </si>
  <si>
    <t>Tertiaire</t>
  </si>
  <si>
    <t xml:space="preserve">Fin de vie des produits vendus </t>
  </si>
  <si>
    <t xml:space="preserve">Tous secteurs / tertiaire </t>
  </si>
  <si>
    <t xml:space="preserve">Déplacements domicile travail </t>
  </si>
  <si>
    <t>Transport des visiteurs et des clients</t>
  </si>
  <si>
    <t>Déplacements professionnels</t>
  </si>
  <si>
    <t xml:space="preserve">Gestion des déchets </t>
  </si>
  <si>
    <t xml:space="preserve">Immobilisations de biens batiments </t>
  </si>
  <si>
    <t>Total construction</t>
  </si>
  <si>
    <t>Actifs en leasing aval</t>
  </si>
  <si>
    <t>Résidentiel</t>
  </si>
  <si>
    <t>Artificialisation</t>
  </si>
  <si>
    <t xml:space="preserve">Industrie Agroalimentaire </t>
  </si>
  <si>
    <t>Total agriculture(moyenne)</t>
  </si>
  <si>
    <t>Total cultures (moyenne)</t>
  </si>
  <si>
    <t>Trajectoire international électricité amont</t>
  </si>
  <si>
    <t xml:space="preserve">Trajectoire internationale </t>
  </si>
  <si>
    <t>Trajectoires internationales à identifier si nécessaire</t>
  </si>
  <si>
    <t>Production d’énergie essence / pétrole</t>
  </si>
  <si>
    <t xml:space="preserve">Trajectoire internationale production de pétrole </t>
  </si>
  <si>
    <t xml:space="preserve">Production d'énergie fioul </t>
  </si>
  <si>
    <t>Production d’énergie gaz</t>
  </si>
  <si>
    <t>Trajectoire internationale gaz amont</t>
  </si>
  <si>
    <t>Emissions liées à la consommation de gaz naturel (France)</t>
  </si>
  <si>
    <t>Trajectoires non disponibles pour des années de référence post-2021</t>
  </si>
  <si>
    <t xml:space="preserve">Production d’énergie pétrole / fioul </t>
  </si>
  <si>
    <t>Emissions liées à la consommation de pétrole (France)</t>
  </si>
  <si>
    <t>Construction de bâtiments</t>
  </si>
  <si>
    <t xml:space="preserve">Généraliste </t>
  </si>
  <si>
    <t xml:space="preserve">Tous </t>
  </si>
  <si>
    <t>Leviers de la SNBC à suivre</t>
  </si>
  <si>
    <t xml:space="preserve">Thématique de la chaine de valeur étudiée </t>
  </si>
  <si>
    <t xml:space="preserve">Levier SNBC potentiellement adapté </t>
  </si>
  <si>
    <t xml:space="preserve">Objectif à respecter </t>
  </si>
  <si>
    <t xml:space="preserve">Sélectionner les thématiques de la chaine de valeur que vous souhaitez comparer aux leviers de la SNBC  </t>
  </si>
  <si>
    <t>Evolution du mix énergétique : électrification</t>
  </si>
  <si>
    <t>Evolution du mix énergétique : biomasse et CSR</t>
  </si>
  <si>
    <t>Efficacité énergétique</t>
  </si>
  <si>
    <t xml:space="preserve">Autres gaz </t>
  </si>
  <si>
    <t>Sobriété matière</t>
  </si>
  <si>
    <t>Capture et stockage de carbone</t>
  </si>
  <si>
    <t>Travaux d'isolation des bâtiments</t>
  </si>
  <si>
    <t xml:space="preserve">Changement d'énergie de chauffage </t>
  </si>
  <si>
    <t>Incorporation de biogaz et réduction des émissions de gaz F (gaz réfrigérants…)</t>
  </si>
  <si>
    <t>Baisse de la consommation (sobriété)</t>
  </si>
  <si>
    <t>Travaux d'isolation des bâtiments et baisse de la consommation</t>
  </si>
  <si>
    <t>Changement de système de chauffage</t>
  </si>
  <si>
    <t>Transport de passagers</t>
  </si>
  <si>
    <t>Report modal</t>
  </si>
  <si>
    <t>Vélo</t>
  </si>
  <si>
    <t>Meilleur taux d'occupation des véhicules particuliers</t>
  </si>
  <si>
    <t>Electrification des véhicules particuliers</t>
  </si>
  <si>
    <t>Efficacité des véhicules</t>
  </si>
  <si>
    <t>Maitrise de la demande des transport terrestres</t>
  </si>
  <si>
    <t>Aérien</t>
  </si>
  <si>
    <t xml:space="preserve">Transport de marchandises </t>
  </si>
  <si>
    <t>Report modal du routier vers le ferroviaire et le maritime</t>
  </si>
  <si>
    <t>Taux de chargement</t>
  </si>
  <si>
    <t>Electrification des VUL, poids lourds et navires</t>
  </si>
  <si>
    <t xml:space="preserve">Maritime </t>
  </si>
  <si>
    <t>Agriculture</t>
  </si>
  <si>
    <t>Baisse des émissions de l'élevage : baisse de l'intensité de la fermentation entérique et de l'élevage bovin…</t>
  </si>
  <si>
    <t>Décarbonation des engins et infrastructures agricoles :  tracteurs, chaudières, serres…</t>
  </si>
  <si>
    <t>Réduction de l'utilisation des fertilisants azotés</t>
  </si>
  <si>
    <t>Méthanisation</t>
  </si>
  <si>
    <t xml:space="preserve">Absorptions GES </t>
  </si>
  <si>
    <t>Efforts de prévention des déchets</t>
  </si>
  <si>
    <t>Hausse du taux de captage de méthane</t>
  </si>
  <si>
    <t>Mix électrique</t>
  </si>
  <si>
    <t>Production de chaleur - décarbonation des RCU</t>
  </si>
  <si>
    <t>Hydrogène</t>
  </si>
  <si>
    <t xml:space="preserve">Raffinage et transformation - </t>
  </si>
  <si>
    <t>Utilisation des Terres, Changements d'Affectation des Terres et Forêt</t>
  </si>
  <si>
    <t>Boisement</t>
  </si>
  <si>
    <t>Produits bois</t>
  </si>
  <si>
    <t>Réduction du rythme de l'artificialisation</t>
  </si>
  <si>
    <t>1. Objectifs de baisse des émissions de GES en valeur absolue</t>
  </si>
  <si>
    <t xml:space="preserve">1.1. Objectif global de baisse des émissions </t>
  </si>
  <si>
    <t>1.1.1. Usages du bâtiment</t>
  </si>
  <si>
    <t>Emissions (MtCO2e)</t>
  </si>
  <si>
    <t>1.1.2. Résidentiel</t>
  </si>
  <si>
    <t>Chauffage, eau chaude sanitaire et cuisson domestique</t>
  </si>
  <si>
    <t>Climatisation domestique</t>
  </si>
  <si>
    <t>Utilisation de produits domestiques (y.c. peintures, aérosols)</t>
  </si>
  <si>
    <t>Autres (déchets, brulage domestiques, réfrigération…)</t>
  </si>
  <si>
    <t>1.1.3. Tertiaire</t>
  </si>
  <si>
    <t>Chauffage, eau chaude sanitaire et cuisson tertiaire</t>
  </si>
  <si>
    <t>Climatisation tertiaire</t>
  </si>
  <si>
    <t>Utilisation de produits tertiaires (y.c. solvants, peintures, aérosols, anesthésie)</t>
  </si>
  <si>
    <t>Réfrigération tertiaire</t>
  </si>
  <si>
    <t>Autres activités tertiaires</t>
  </si>
  <si>
    <t>1.1.4 Artificialisation</t>
  </si>
  <si>
    <t>1.1.5. Construction du bâtiment</t>
  </si>
  <si>
    <t>1.2. Objectifs de baisse des émissions par leviers</t>
  </si>
  <si>
    <t>1.2.1. Résidentiel</t>
  </si>
  <si>
    <t xml:space="preserve"> </t>
  </si>
  <si>
    <t>Leviers</t>
  </si>
  <si>
    <t>indicateurs physiques</t>
  </si>
  <si>
    <t xml:space="preserve">Diviser par deux le nombre de passoires thermiques en 2030 </t>
  </si>
  <si>
    <t>Changement d'énergie de chauffage (passage du fioul ou du gaz à l'électricité)</t>
  </si>
  <si>
    <t>Remplacement par un système de chauffage décarboné de 75% des chaudières au fioul d’ici 2030.</t>
  </si>
  <si>
    <t>Remplacement par un système de chauffage décarboné de 20 à 25% des chaudières au gaz d’ici 2030</t>
  </si>
  <si>
    <t>Atteindre 15% de biogaz dans le réseau en 2030</t>
  </si>
  <si>
    <t>Réduire de 18% la consommation finale d'énergie du secteur résidentiel en 2030 vs 2019</t>
  </si>
  <si>
    <t>1.2.2. Tertiaire</t>
  </si>
  <si>
    <t>Réduction de 40% de la consommation d'énergie finale du bâtiment tertiaire en 2030 (décret tertiaire)</t>
  </si>
  <si>
    <t xml:space="preserve">En 2030, l’usage du fioul dans les surfaces tertiaires devient très marginal. Environ 1% des surfaces continuent d’être chauffées au fioul, dans des situations où la transition vers un système décarboné est techniquement ou économiquement très complexe. </t>
  </si>
  <si>
    <t>Baisse de 30% de la consommation de gaz du tertiaire en 2030 vs 2019 (décret tertiaire) : 2% du parc quitte le gaz chaque année</t>
  </si>
  <si>
    <t>La part de surfaces tertiaires chauffées par des convecteurs électriques diminue fortement, remplacées par des pompes à chaleur air/air plus performantes.</t>
  </si>
  <si>
    <t>2. Objectifs de baisse des émissions de GES en intensité</t>
  </si>
  <si>
    <t>Les intensités ne sont disponibles que pour les années 2019 et 2030</t>
  </si>
  <si>
    <t>Cibles en intensité carbone</t>
  </si>
  <si>
    <t>Unité</t>
  </si>
  <si>
    <t>Commentaire</t>
  </si>
  <si>
    <t>kgCO2eq/m^2/an</t>
  </si>
  <si>
    <t>Scope 1 uniquement</t>
  </si>
  <si>
    <t xml:space="preserve">tCO2eq/logement  </t>
  </si>
  <si>
    <t>1.1.1. Transport de passagers</t>
  </si>
  <si>
    <t>Transport aérien français</t>
  </si>
  <si>
    <t>Soutes internationales</t>
  </si>
  <si>
    <t>1.1.2. Transport de marchandises</t>
  </si>
  <si>
    <t>Navigation domestique (fluviale et maritime)</t>
  </si>
  <si>
    <t>Soutes maritimes internationales</t>
  </si>
  <si>
    <t>1.2.1. Transport de passagers</t>
  </si>
  <si>
    <t xml:space="preserve">indicateurs physiques </t>
  </si>
  <si>
    <t xml:space="preserve">Augmentation moyenne du trafic des transports en commun de 25 % d’ici 2030 (25% pour les bus et cars, et 25% pour les trains). </t>
  </si>
  <si>
    <t xml:space="preserve"> Augmentation du trafic vélo (de 5 à 19 Mds voy-km) en développant les infrastructures cyclables afin de doubler le réseau d’ici 2030 pour le porter à 100 000 kilomètres.</t>
  </si>
  <si>
    <t>Triplement du nombre de trajets coivoiturés en 2027 par rapport à 2023</t>
  </si>
  <si>
    <t>66% de véhicules électrifiés dans les ventes de véhicules particuliers neufs en 2030</t>
  </si>
  <si>
    <t>Part de l'électrique dans le parc roulant en 2030 : 15%
Fin de la vente de véhicules légers neufs thermiques et hybrides en 2035</t>
  </si>
  <si>
    <t>Baisse moyenne de 16% des émissions de CO2/km des véhicules thermiques neufs vendus en 2030 vs 2019</t>
  </si>
  <si>
    <t>La consommation des voitures particulières électriques neuves diminue de 12% d’ici 2030 par rapport à 2019.</t>
  </si>
  <si>
    <t xml:space="preserve">Réduction de 14,5% de l’intensité carbone de l’énergie utilisée dans le secteur des transports en 2030, par rapport à la référence essence ou diesel fossile de 94 gCO2/MJ. </t>
  </si>
  <si>
    <t>Stabilisation du nombre de kilomètres parcourus par an par personne tous modes confondus</t>
  </si>
  <si>
    <t xml:space="preserve"> Baisse de la consommation unitaire (par passager-km) de 14 % d’ici 2030 par rapport à 2019.</t>
  </si>
  <si>
    <t>Le recours aux carburants alternatifs durables (incluant une part de carburants de synthèse) dans l’aérien croît à 6% en 2030</t>
  </si>
  <si>
    <t xml:space="preserve">Maîtrise de la demande de transport aérien domestique :  baisse de 12 % sur les vols intérieur hexagone </t>
  </si>
  <si>
    <t>Maîtrise de la demande de transport aérien international : croissance de 18 % pour le trafic international (moindre que dans un scénario tendanciels 23 % de croissance pour les vols à l’international).</t>
  </si>
  <si>
    <t>1.2.1. Transport de marchandises</t>
  </si>
  <si>
    <t>Passer à 18% la part des marchandises transportées par voie ferroviaire et à 3% la part transportée par voie maritime en 2030</t>
  </si>
  <si>
    <t>Le chargement moyen des camions passe de 8,1 tonnes en 2019 à 8,4 d’ici 2030.</t>
  </si>
  <si>
    <t>Part des véhicules électriques dans les ventes en 2030 : poids lourds 50%, VUL 51%</t>
  </si>
  <si>
    <t>Part de l'électrique dans le parc roulant en 2030 : poids lourds 12%, VUL 14%</t>
  </si>
  <si>
    <t xml:space="preserve">La consommation des VUL diesel neufs diminue de 14 % d’ici 2030 par rapport à 2019 
La consommation des VUL électriques neufs baisse de 20 % en 2030 par rapport à 2019. 
La consommation des PL diesel neufs diminue de 15 % d’ici 2030 par rapport à 2019
La consommation des PL électriques neufs baisse de 10% en 2030 par rapport à 2019. </t>
  </si>
  <si>
    <t xml:space="preserve">Réduction de 12 % de l'intensité carbone de l'énergie utilisée à bord des navires en 2030 </t>
  </si>
  <si>
    <t>kgCO2e/pkm</t>
  </si>
  <si>
    <t>Dont VP</t>
  </si>
  <si>
    <t>Dont bus et cars</t>
  </si>
  <si>
    <t>Dont deux roues</t>
  </si>
  <si>
    <t>Dont transport ferroviaire</t>
  </si>
  <si>
    <t xml:space="preserve">Dont transport aérien intérieur </t>
  </si>
  <si>
    <t>Inclut les vols métropole-OM et intra OM</t>
  </si>
  <si>
    <t>Dont soutes internationales</t>
  </si>
  <si>
    <t>Transport de marchandise (hors VUL et ferroviaire)</t>
  </si>
  <si>
    <t>kgCO2e/tkm</t>
  </si>
  <si>
    <t>Dont PL</t>
  </si>
  <si>
    <t>Dont fluvial</t>
  </si>
  <si>
    <t>Dont VUL</t>
  </si>
  <si>
    <t>kgCO2e/vehkm</t>
  </si>
  <si>
    <t>Total agriculture</t>
  </si>
  <si>
    <t>1.1.1. Elevage</t>
  </si>
  <si>
    <t>Total élevage</t>
  </si>
  <si>
    <t>Bovins</t>
  </si>
  <si>
    <t>Porcins</t>
  </si>
  <si>
    <t>Volailles</t>
  </si>
  <si>
    <t>Autres émissions de l'élevage</t>
  </si>
  <si>
    <t>1.1.2. Cultures</t>
  </si>
  <si>
    <t>Engrais et amendements minéraux</t>
  </si>
  <si>
    <t>1.1.3. Emissions énergétiques</t>
  </si>
  <si>
    <t>Doublement de la surface dédiée aux cultures de légumineuses en 2030 vs 2019</t>
  </si>
  <si>
    <t>Evolution du cheptel :  -12 % en 2030 par rapport à 2020 pour les bovins ; 
-10 % en 2030 pour les porcins ; 
stable pour les volailles.</t>
  </si>
  <si>
    <t>La part des élevages bovins lait en système de pâturage dominant passe de 28 % en 2020 à 45 % en 2030 ; 
Les poulets label et agriculture biologique (AB) évoluent de 32% en 2020 à 39% en 2030 
Les porcs label et AB évoluent de 4 % en 2020 à 7 % en 2030.</t>
  </si>
  <si>
    <t>Réduction de 50 % des importations de soja en 2030.</t>
  </si>
  <si>
    <t>La part d’engins agricoles fonctionnant avec des énergies non-fossiles (biocarburants, HVO100, électricité, H2, BioGNV) passe de 0 % à 7 % en 2030.</t>
  </si>
  <si>
    <t>Diminution du recours aux engrais minéraux azotés : -26 % en 2030.</t>
  </si>
  <si>
    <t>Evolution des grandes cultures vers des systèmes à bas intrants (50% en 2030), dont 21% en agriculture biologique dès 2030.</t>
  </si>
  <si>
    <t xml:space="preserve">Part croissante des déjections animales méthanisées pour atteindre 20% en 2030 ;  </t>
  </si>
  <si>
    <t>Méthanisation : la part des cultures intermédiaires à vocation énergétique (CIVE) au sein des cultures intermédiaires progresse de 4 % aujourd’hui à 19 % en 2030.</t>
  </si>
  <si>
    <t>Plus de 50 000 kilomètres linéaires nets de haies plantées entre 2020 et 2030.</t>
  </si>
  <si>
    <t>Agroforesterie : augmentation significative des surfaces d’agroforesterie intraparcellaire d’ici 2030 pour atteindre 100 000 ha sur prairies et terres arables.</t>
  </si>
  <si>
    <t>Elevage</t>
  </si>
  <si>
    <t>tCO2eq/tViande produite</t>
  </si>
  <si>
    <t>Dont élevage bovin</t>
  </si>
  <si>
    <t>tCO2eq/tête</t>
  </si>
  <si>
    <t>Dont élevage porcin</t>
  </si>
  <si>
    <t>Dont volailles</t>
  </si>
  <si>
    <t>kgCO2eq/tête</t>
  </si>
  <si>
    <t>Cultures</t>
  </si>
  <si>
    <t>tCO2eq/haSAU</t>
  </si>
  <si>
    <t>Emissions unitaires de l'azote minéral</t>
  </si>
  <si>
    <t>tCO2eq/tN</t>
  </si>
  <si>
    <t>Agroéquipements</t>
  </si>
  <si>
    <t>MtCO2eq/TWh</t>
  </si>
  <si>
    <t>Dont pétrochimie</t>
  </si>
  <si>
    <t>Dont ammoniac</t>
  </si>
  <si>
    <t>Agro-alimentaire</t>
  </si>
  <si>
    <t>Dont sucre</t>
  </si>
  <si>
    <t>Métallurgie des métaux ferreux (dont acier)</t>
  </si>
  <si>
    <t>Dont aluminium</t>
  </si>
  <si>
    <t>Dont clinker</t>
  </si>
  <si>
    <t>Verre</t>
  </si>
  <si>
    <t xml:space="preserve">  </t>
  </si>
  <si>
    <t>indicateur physique</t>
  </si>
  <si>
    <t xml:space="preserve">Le secteur industriel engage des travaux d’électrification, notamment via l’installation de pompes à chaleur (pour les basses températures), de chaudières électriques (par exemple pour la chimie ou l’agroalimentaire pour produire de la chaleur) ou encore de fours électriques (notamment pour la métallurgie et le verre). </t>
  </si>
  <si>
    <t>Utilisation énergétique de la biomasse et des CSR  : dans l’industrie, la biomasse issue notamment de la gestion durable de forêts est en priorité  orientée vers les usages hautes températures, difficiles à électrifier.</t>
  </si>
  <si>
    <t xml:space="preserve">La quasi-totalité de la chaleur fatale est réutilisée sur site, par exemple pour le préchauffage, et ensuite pour alimenter des réseaux de chaleurs industriels ou résidentiels. </t>
  </si>
  <si>
    <t>Les gains d’efficacité énergétique déjà réalisés ces dernières années se poursuivent. Ils sont très variables selon les secteurs industriels : entre 5 et 25 % en 2030 par rapport à 2021 (à l’exception de certains secteurs comme l’ammoniac pour lequel l’utilisation d’hydrogène décarboné engendre une perte d’efficacité énergétique).</t>
  </si>
  <si>
    <t xml:space="preserve">Abattement des gaz fluorés et des émissions de protoxyde d’azote : adaptation des procédés de production (par exemple, l’utilisation de fluides frigorigènes non fluorés ou en utilisant des catalyseurs pour le N2O). </t>
  </si>
  <si>
    <t xml:space="preserve">Les taux d'incorporation de matières premières recyclées dans les secteurs de l’acier, de l’aluminium, de la pétrochimie et du verre augmentent entre 10 et 30%. </t>
  </si>
  <si>
    <t>Le taux de clinker est réduit de 9% pour la production de ciment.</t>
  </si>
  <si>
    <t xml:space="preserve">Capture, stockage ou valorisation de carbone </t>
  </si>
  <si>
    <t>MtCO2e/Md€2014</t>
  </si>
  <si>
    <t>Dont ethylène</t>
  </si>
  <si>
    <t>MtCO2e/Mt</t>
  </si>
  <si>
    <t>Biens d'équipement, matériel de transport</t>
  </si>
  <si>
    <t>Minéraux non-métalliques, matériaux de contruction</t>
  </si>
  <si>
    <t>Dont verre</t>
  </si>
  <si>
    <t xml:space="preserve">Réduire de 5% le volume de déchets des activités économiques par unité de valeur produite en 2030 vs 2010 (loi AGEC) </t>
  </si>
  <si>
    <t>Réduire de moitié le volume de gaspillage alimentaire en restauration collective en 2025 vs 2015</t>
  </si>
  <si>
    <t>Le taux de captage du biométhane dans les installations de stockage des déchets non-dangereux (ISDND) passe de 47 % en 2020 à 85 % en 2030.</t>
  </si>
  <si>
    <t>Le taux de valorisation du biométhane capté passe de 77 % à 85 %</t>
  </si>
  <si>
    <t>tCO2eq/tdéchets</t>
  </si>
  <si>
    <t>kgCO2eq/hab</t>
  </si>
  <si>
    <t>Déchets</t>
  </si>
  <si>
    <t>Extraction et distribution de combustibles solides</t>
  </si>
  <si>
    <t>Extraction et distribution de combustibles liquides</t>
  </si>
  <si>
    <t>Extraction et distribution de combustibles gazeux</t>
  </si>
  <si>
    <t xml:space="preserve">Extraction et distribution de combustibles - autres </t>
  </si>
  <si>
    <t>Emissions liées à la combustion de pétrole</t>
  </si>
  <si>
    <t>Emissions liées à la combustion de gaz naturel</t>
  </si>
  <si>
    <t>Emissions liées à la combustion de charbon</t>
  </si>
  <si>
    <t>Indicateur physique</t>
  </si>
  <si>
    <t>Mix électrique à 96% décarboné en 2030 (61% nucléaire, 35% énergies renouvelables)</t>
  </si>
  <si>
    <t>Fin de la production d’électricité à partir de charbon en 2027</t>
  </si>
  <si>
    <t xml:space="preserve">Les quantités de chaleur livrées par les réseaux devront comporter 75 % de chaleur EnR&amp;R en 2030 puis 80 % de chaleur ENR&amp;R en 2035. </t>
  </si>
  <si>
    <t xml:space="preserve">Production d’hydrogène à partir d’électrolyse pour l’intégralité des nouvelles capacités de production </t>
  </si>
  <si>
    <t>L’activité de raffinage baisse à mesure que l’usage des produits pétroliers diminue en France (-31 % de quantités raffinées en 2030 par rapport à 2019).</t>
  </si>
  <si>
    <t>Production d'électricité périmètre Hexagone + DROM (combustion)</t>
  </si>
  <si>
    <t>gCO2eq/kWh</t>
  </si>
  <si>
    <t xml:space="preserve"> N'inclut pas les émissions de l'amont. Hors valorisation énergétique des déchets</t>
  </si>
  <si>
    <t>Production d'électricité périmètre Hexagone (combustion)</t>
  </si>
  <si>
    <t>Production d'électricité périmètre Hexagone avec déchets (combustion)</t>
  </si>
  <si>
    <t xml:space="preserve">Réseaux de chaleur </t>
  </si>
  <si>
    <t>Tranformation des combustibles minéraux solides</t>
  </si>
  <si>
    <t xml:space="preserve">Emissions par quantité de charbon transformé dans les cokeries (branche énergie). </t>
  </si>
  <si>
    <t>tCO2eq/tdéchets_UVE</t>
  </si>
  <si>
    <t>Autres terres et barrages</t>
  </si>
  <si>
    <t xml:space="preserve">Plantation d’un milliard d’arbres et renouvellement forestier de l’ordre de 10% de la surface forestière mis en place lors des 10 prochaines années. </t>
  </si>
  <si>
    <t>Le boisement hors forêt passe de 100 ha/an en 2021 à 15 000 ha/an à horizon 2030</t>
  </si>
  <si>
    <t xml:space="preserve"> Les durées de demi-vie des charpentes atteignent 50 ans, des parquets/lambris 30 ans, des panneaux 25 ans et du papier 7 ans. </t>
  </si>
  <si>
    <t>Le taux d’incorporation des matières premières recyclées dans les panneaux augmente : 50 % en 2030 contre 40% en 2021.</t>
  </si>
  <si>
    <t xml:space="preserve">La part de récolte transformée en produits de « sciage » passe de 9,5 % actuellement à 12 % en 2030. </t>
  </si>
  <si>
    <t xml:space="preserve">La part de récolte entrant dans le compartiment « panneaux et isolants » passe de 13 % actuellement à 18 % en 2030. </t>
  </si>
  <si>
    <t>L’artificialisation liée aux surfaces commerciales est divisée par 10 et celle liée au logement par 2 en 10 ans.</t>
  </si>
  <si>
    <t>Transports</t>
  </si>
  <si>
    <t>CO2e</t>
  </si>
  <si>
    <t>Total gaz à effet de serre</t>
  </si>
  <si>
    <t>Emissions dans l'air - Source Citepa édition 2023 - inventaire national d'émissions de gaz à effet de serre et de polluants atmosphériques - citepa.org</t>
  </si>
  <si>
    <t>Méthodologie d'estimation : citepa.org/ominea</t>
  </si>
  <si>
    <t>Récapitulatif des émissions par grand secteur</t>
  </si>
  <si>
    <t>Prospectif</t>
  </si>
  <si>
    <t>Emissions de CO2e (MtCO2e/an)
Périmètre : Métropole et Outre-mer inclus dans l'UE</t>
  </si>
  <si>
    <t>2022 (e)</t>
  </si>
  <si>
    <t>Industrie de l'énergie</t>
  </si>
  <si>
    <t>Industrie manufacturière et construction</t>
  </si>
  <si>
    <t>Traitement centralisé des déchets</t>
  </si>
  <si>
    <t>Usage des bâtiments et activités résidentiels/tertiaires</t>
  </si>
  <si>
    <t>Agriculture / sylviculture</t>
  </si>
  <si>
    <t>Transport hors total</t>
  </si>
  <si>
    <t>TOTAL national hors UTCATF</t>
  </si>
  <si>
    <t>UTCATF</t>
  </si>
  <si>
    <t>Emissions naturelles hors total</t>
  </si>
  <si>
    <t>Non projeté</t>
  </si>
  <si>
    <t>TOTAL national avec UTCATF</t>
  </si>
  <si>
    <t>Hors total</t>
  </si>
  <si>
    <t>Détail des émissions par sous-secteur</t>
  </si>
  <si>
    <t>Fabrication de charbon de bois par pyrolyse</t>
  </si>
  <si>
    <t>Capture directe du carbone (DAC "Direct Carbon Capture")</t>
  </si>
  <si>
    <t>Total Industrie de l'énergie</t>
  </si>
  <si>
    <t>Pétrochimie (hors CCS)</t>
  </si>
  <si>
    <t>Ammoniac (hors CCS)</t>
  </si>
  <si>
    <t>Sucre (hors CCS)</t>
  </si>
  <si>
    <t>Aluminium (hors CCS)</t>
  </si>
  <si>
    <t>Clinker (hors CCS)</t>
  </si>
  <si>
    <t>Total Industrie manufacturière</t>
  </si>
  <si>
    <t>Total traitement centralisé des déchets</t>
  </si>
  <si>
    <t>Réfrigération domestique</t>
  </si>
  <si>
    <t>Engins (y.c. jardinage) domestiques</t>
  </si>
  <si>
    <t>Déchets et brûlage domestiques et eaux usées</t>
  </si>
  <si>
    <t>Autres activités domestiques (tabac et feux d’artifices)</t>
  </si>
  <si>
    <t>sous-total Usage des bâtiments résidentiels et activités domestiques</t>
  </si>
  <si>
    <t>Autres activités tertiaires (y.c. feux d’artifices, activités militaires, crémation)</t>
  </si>
  <si>
    <t>Total Usage des bâtiments et activités résidentiels/tertiaires</t>
  </si>
  <si>
    <t>sous-total Elevage</t>
  </si>
  <si>
    <t>Engrais et amendements organiques</t>
  </si>
  <si>
    <t>Pâture</t>
  </si>
  <si>
    <t>Brûlage de résidus agricoles</t>
  </si>
  <si>
    <t>Autres émissions des cultures</t>
  </si>
  <si>
    <t>sous-total Culture</t>
  </si>
  <si>
    <t>Engins, moteurs et chaudières en agriculture</t>
  </si>
  <si>
    <t>Engins, moteurs et chaudières en sylviculture</t>
  </si>
  <si>
    <t>sous-total Engins, moteurs et chaudières</t>
  </si>
  <si>
    <t>Total agriculture / sylviculture</t>
  </si>
  <si>
    <t>VP diesel</t>
  </si>
  <si>
    <t>VP essence</t>
  </si>
  <si>
    <t>VP GPL</t>
  </si>
  <si>
    <t>VP GNV</t>
  </si>
  <si>
    <t>VP électriques</t>
  </si>
  <si>
    <t>VUL diesel</t>
  </si>
  <si>
    <t>VUL essence</t>
  </si>
  <si>
    <t>VUL GPL</t>
  </si>
  <si>
    <t>VUL GNV</t>
  </si>
  <si>
    <t>VUL électriques</t>
  </si>
  <si>
    <t>PL de marchandises diesel</t>
  </si>
  <si>
    <t>PL de marchandises essence</t>
  </si>
  <si>
    <t>PL de marchandises GNV</t>
  </si>
  <si>
    <t>PL de marchandises électriques</t>
  </si>
  <si>
    <t>Bus et cars diesel</t>
  </si>
  <si>
    <t>Bus et cars essence</t>
  </si>
  <si>
    <t>Bus et cars GNV</t>
  </si>
  <si>
    <t>Bus et cars électriques</t>
  </si>
  <si>
    <t>Deux roues essence</t>
  </si>
  <si>
    <t>Deux roues diesel</t>
  </si>
  <si>
    <t>Deux roues électriques</t>
  </si>
  <si>
    <t>sous-total Transport routier</t>
  </si>
  <si>
    <t>Transport fluvial de marchandises</t>
  </si>
  <si>
    <t>Transport maritime domestique</t>
  </si>
  <si>
    <t>Transport autres navigations</t>
  </si>
  <si>
    <t>sous-total Autres transports</t>
  </si>
  <si>
    <t>Total transports (total national)</t>
  </si>
  <si>
    <t>Transport fluvial international - hors total national</t>
  </si>
  <si>
    <t>Transport maritime international - hors total national</t>
  </si>
  <si>
    <t>Transport aérien international - hors total national</t>
  </si>
  <si>
    <t>Autres engins hors total national</t>
  </si>
  <si>
    <t>Total transport international exclu du total national</t>
  </si>
  <si>
    <t>UTCATF (Utilisation des Terres, Changements d'Affectation des Terres et Forêt)</t>
  </si>
  <si>
    <t>Terres cultivées</t>
  </si>
  <si>
    <t>Prairies</t>
  </si>
  <si>
    <t>Autres terres</t>
  </si>
  <si>
    <t>Barrages</t>
  </si>
  <si>
    <t>Total UTCATF (total national)</t>
  </si>
  <si>
    <t>Analyse par combustible</t>
  </si>
  <si>
    <t>Emissions liées à la combustion d'autres combustibles</t>
  </si>
  <si>
    <t>Non calculé</t>
  </si>
  <si>
    <t>Total d'émissions de combustion</t>
  </si>
  <si>
    <r>
      <t>CH</t>
    </r>
    <r>
      <rPr>
        <b/>
        <vertAlign val="subscript"/>
        <sz val="20"/>
        <rFont val="Trebuchet MS"/>
        <family val="2"/>
      </rPr>
      <t>4</t>
    </r>
  </si>
  <si>
    <t>Méthane</t>
  </si>
  <si>
    <r>
      <t>Emissions dans l'air - Source Citepa édition 2023</t>
    </r>
    <r>
      <rPr>
        <sz val="10"/>
        <rFont val="Trebuchet MS"/>
        <family val="2"/>
      </rPr>
      <t xml:space="preserve"> - inventaire national d'émissions de gaz à effet de serre et de polluants atmosphériques - citepa.org</t>
    </r>
  </si>
  <si>
    <t>Emissions de CH4 (ktCO2e/an)
Périmètre : Métropole et Outre-mer inclus dans l'UE</t>
  </si>
  <si>
    <t>Intégré dans PL</t>
  </si>
  <si>
    <t>Emissions de N2O (ktCO2e/an)
Périmètre : Métropole et Outre-mer inclus dans l'UE</t>
  </si>
  <si>
    <t>Ce tableur est à utiliser dans le cadre du projet de guide national de déclinaison volontaire de la SNBC auprès des entreprises, il regroupe les trajectoires sectorielles et sous-sectorielles du projet de SNBC à horizon 2030 ainsi que les hypothèses physiques présentes dans celle-ci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</si>
</sst>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_-;\-* #,##0.00\ _€_-;_-* &quot;-&quot;??\ _€_-;_-@_-"/>
    <numFmt numFmtId="165" formatCode="0.0%"/>
    <numFmt numFmtId="166" formatCode="_-* #,##0.00000\ _€_-;\-* #,##0.00000\ _€_-;_-* &quot;-&quot;?\ _€_-;_-@_-"/>
    <numFmt numFmtId="167" formatCode="_-* #,##0.0000\ _€_-;\-* #,##0.0000\ _€_-;_-* &quot;-&quot;?\ _€_-;_-@_-"/>
    <numFmt numFmtId="168" formatCode="0.0"/>
    <numFmt numFmtId="169" formatCode="_-* #,##0.0_-;\-* #,##0.0_-;_-* &quot;-&quot;??_-;_-@_-"/>
    <numFmt numFmtId="170" formatCode="_-* #,##0.0\ _€_-;\-* #,##0.0\ _€_-;_-* &quot;-&quot;??\ _€_-;_-@_-"/>
    <numFmt numFmtId="171" formatCode="#,##0.0"/>
    <numFmt numFmtId="172" formatCode="#,##0.000"/>
    <numFmt numFmtId="173" formatCode="_-* #,##0.00_-;\-* #,##0.00_-;_-* \-??_-;_-@_-"/>
    <numFmt numFmtId="174" formatCode="_-* #,##0.0\ _€_-;\-* #,##0.0\ _€_-;_-* &quot;-&quot;?\ _€_-;_-@_-"/>
    <numFmt numFmtId="175" formatCode="0.000"/>
    <numFmt numFmtId="176" formatCode="_-* #,##0\ _€_-;\-* #,##0\ _€_-;_-* &quot;-&quot;??\ _€_-;_-@_-"/>
  </numFmts>
  <fonts count="68">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name val="Geneva"/>
    </font>
    <font>
      <b/>
      <sz val="12"/>
      <color theme="0"/>
      <name val="Arial"/>
      <family val="2"/>
    </font>
    <font>
      <b/>
      <sz val="18"/>
      <color theme="3"/>
      <name val="Calibri Light"/>
      <family val="2"/>
      <scheme val="major"/>
    </font>
    <font>
      <u/>
      <sz val="11"/>
      <color theme="10"/>
      <name val="Calibri"/>
      <family val="2"/>
      <scheme val="minor"/>
    </font>
    <font>
      <sz val="11"/>
      <name val="Calibri"/>
      <family val="2"/>
      <scheme val="minor"/>
    </font>
    <font>
      <b/>
      <sz val="11"/>
      <color rgb="FFFF0000"/>
      <name val="Calibri"/>
      <family val="2"/>
      <scheme val="minor"/>
    </font>
    <font>
      <u/>
      <sz val="11"/>
      <color theme="1"/>
      <name val="Calibri"/>
      <family val="2"/>
      <scheme val="minor"/>
    </font>
    <font>
      <b/>
      <u/>
      <sz val="11"/>
      <color rgb="FFFF0000"/>
      <name val="Calibri"/>
      <family val="2"/>
      <scheme val="minor"/>
    </font>
    <font>
      <b/>
      <sz val="11"/>
      <color theme="5"/>
      <name val="Calibri"/>
      <family val="2"/>
      <scheme val="minor"/>
    </font>
    <font>
      <b/>
      <i/>
      <sz val="11"/>
      <color theme="1"/>
      <name val="Calibri"/>
      <family val="2"/>
      <scheme val="minor"/>
    </font>
    <font>
      <sz val="11"/>
      <color theme="6" tint="-0.249977111117893"/>
      <name val="Calibri"/>
      <family val="2"/>
      <scheme val="minor"/>
    </font>
    <font>
      <i/>
      <sz val="11"/>
      <color theme="1"/>
      <name val="Calibri"/>
      <family val="2"/>
      <scheme val="minor"/>
    </font>
    <font>
      <b/>
      <sz val="11"/>
      <name val="Calibri"/>
      <family val="2"/>
      <scheme val="minor"/>
    </font>
    <font>
      <sz val="11"/>
      <color theme="5"/>
      <name val="Calibri"/>
      <family val="2"/>
      <scheme val="minor"/>
    </font>
    <font>
      <u/>
      <sz val="11"/>
      <color theme="5"/>
      <name val="Calibri"/>
      <family val="2"/>
      <scheme val="minor"/>
    </font>
    <font>
      <b/>
      <u/>
      <sz val="11"/>
      <color theme="1"/>
      <name val="Calibri"/>
      <family val="2"/>
      <scheme val="minor"/>
    </font>
    <font>
      <b/>
      <sz val="11"/>
      <color rgb="FF7030A0"/>
      <name val="Calibri"/>
      <family val="2"/>
      <scheme val="minor"/>
    </font>
    <font>
      <sz val="10"/>
      <name val="Arial"/>
      <family val="2"/>
    </font>
    <font>
      <sz val="11"/>
      <color theme="2" tint="-0.499984740745262"/>
      <name val="Calibri"/>
      <family val="2"/>
      <scheme val="minor"/>
    </font>
    <font>
      <b/>
      <sz val="20"/>
      <name val="Trebuchet MS"/>
      <family val="2"/>
    </font>
    <font>
      <b/>
      <sz val="14"/>
      <name val="Trebuchet MS"/>
      <family val="2"/>
    </font>
    <font>
      <sz val="14"/>
      <name val="Trebuchet MS"/>
      <family val="2"/>
    </font>
    <font>
      <b/>
      <sz val="10"/>
      <name val="Trebuchet MS"/>
      <family val="2"/>
    </font>
    <font>
      <sz val="10"/>
      <name val="Trebuchet MS"/>
      <family val="2"/>
    </font>
    <font>
      <i/>
      <sz val="10"/>
      <name val="Trebuchet MS"/>
      <family val="2"/>
    </font>
    <font>
      <b/>
      <sz val="16"/>
      <name val="Trebuchet MS"/>
      <family val="2"/>
    </font>
    <font>
      <b/>
      <sz val="14"/>
      <color theme="0"/>
      <name val="Trebuchet MS"/>
      <family val="2"/>
    </font>
    <font>
      <sz val="14"/>
      <color theme="0"/>
      <name val="Trebuchet MS"/>
      <family val="2"/>
    </font>
    <font>
      <b/>
      <i/>
      <sz val="9"/>
      <name val="Trebuchet MS"/>
      <family val="2"/>
    </font>
    <font>
      <b/>
      <sz val="9"/>
      <name val="Trebuchet MS"/>
      <family val="2"/>
    </font>
    <font>
      <b/>
      <sz val="8"/>
      <name val="Trebuchet MS"/>
      <family val="2"/>
    </font>
    <font>
      <sz val="8"/>
      <name val="Trebuchet MS"/>
      <family val="2"/>
    </font>
    <font>
      <b/>
      <i/>
      <sz val="8"/>
      <name val="Trebuchet MS"/>
      <family val="2"/>
    </font>
    <font>
      <i/>
      <sz val="8"/>
      <name val="Trebuchet MS"/>
      <family val="2"/>
    </font>
    <font>
      <sz val="11"/>
      <color theme="1"/>
      <name val="Trebuchet MS"/>
      <family val="2"/>
    </font>
    <font>
      <b/>
      <sz val="11"/>
      <name val="Trebuchet MS"/>
      <family val="2"/>
    </font>
    <font>
      <sz val="11"/>
      <name val="Trebuchet MS"/>
      <family val="2"/>
    </font>
    <font>
      <b/>
      <sz val="11"/>
      <color theme="0"/>
      <name val="Trebuchet MS"/>
      <family val="2"/>
    </font>
    <font>
      <sz val="8"/>
      <color theme="1"/>
      <name val="Trebuchet MS"/>
      <family val="2"/>
    </font>
    <font>
      <sz val="11"/>
      <color theme="0"/>
      <name val="Trebuchet MS"/>
      <family val="2"/>
    </font>
    <font>
      <sz val="11"/>
      <color rgb="FF000000"/>
      <name val="Calibri"/>
      <family val="2"/>
      <charset val="1"/>
    </font>
    <font>
      <i/>
      <sz val="11"/>
      <color rgb="FF0070C0"/>
      <name val="Calibri"/>
      <family val="2"/>
      <scheme val="minor"/>
    </font>
    <font>
      <i/>
      <sz val="11"/>
      <color rgb="FFFF0000"/>
      <name val="Calibri"/>
      <family val="2"/>
      <scheme val="minor"/>
    </font>
    <font>
      <sz val="11"/>
      <color theme="0" tint="-0.499984740745262"/>
      <name val="Calibri"/>
      <family val="2"/>
      <scheme val="minor"/>
    </font>
    <font>
      <sz val="8"/>
      <color theme="0" tint="-0.499984740745262"/>
      <name val="Trebuchet MS"/>
      <family val="2"/>
    </font>
    <font>
      <sz val="11"/>
      <color theme="1"/>
      <name val="Calibri"/>
      <family val="2"/>
    </font>
    <font>
      <b/>
      <sz val="11"/>
      <color rgb="FF000000"/>
      <name val="Calibri"/>
      <family val="2"/>
    </font>
    <font>
      <b/>
      <sz val="11"/>
      <color rgb="FFFFFFFF"/>
      <name val="Calibri"/>
      <family val="2"/>
    </font>
    <font>
      <b/>
      <vertAlign val="subscript"/>
      <sz val="20"/>
      <name val="Trebuchet MS"/>
      <family val="2"/>
    </font>
    <font>
      <sz val="8"/>
      <color theme="2" tint="-0.499984740745262"/>
      <name val="Trebuchet MS"/>
      <family val="2"/>
    </font>
    <font>
      <b/>
      <sz val="8"/>
      <color theme="2" tint="-0.499984740745262"/>
      <name val="Trebuchet MS"/>
      <family val="2"/>
    </font>
  </fonts>
  <fills count="7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bgColor indexed="64"/>
      </patternFill>
    </fill>
    <fill>
      <patternFill patternType="solid">
        <fgColor theme="4"/>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rgb="FFE95042"/>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rgb="FF8DA9DB"/>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BDC921"/>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rgb="FF92C4E6"/>
        <bgColor indexed="64"/>
      </patternFill>
    </fill>
    <fill>
      <patternFill patternType="solid">
        <fgColor rgb="FFD4E5F4"/>
        <bgColor indexed="64"/>
      </patternFill>
    </fill>
    <fill>
      <patternFill patternType="solid">
        <fgColor rgb="FF0070C0"/>
        <bgColor indexed="64"/>
      </patternFill>
    </fill>
    <fill>
      <patternFill patternType="solid">
        <fgColor rgb="FFB0C8FE"/>
        <bgColor indexed="64"/>
      </patternFill>
    </fill>
    <fill>
      <patternFill patternType="solid">
        <fgColor rgb="FFC38DDB"/>
        <bgColor indexed="64"/>
      </patternFill>
    </fill>
    <fill>
      <patternFill patternType="solid">
        <fgColor rgb="FFB3A2C7"/>
        <bgColor indexed="64"/>
      </patternFill>
    </fill>
    <fill>
      <patternFill patternType="solid">
        <fgColor rgb="FFD2C846"/>
        <bgColor indexed="64"/>
      </patternFill>
    </fill>
    <fill>
      <patternFill patternType="solid">
        <fgColor rgb="FFF1EEC5"/>
        <bgColor indexed="64"/>
      </patternFill>
    </fill>
    <fill>
      <patternFill patternType="solid">
        <fgColor rgb="FFE0E5B3"/>
        <bgColor indexed="64"/>
      </patternFill>
    </fill>
    <fill>
      <patternFill patternType="solid">
        <fgColor rgb="FF92D050"/>
        <bgColor indexed="64"/>
      </patternFill>
    </fill>
    <fill>
      <patternFill patternType="solid">
        <fgColor rgb="FFF3F9E5"/>
        <bgColor indexed="64"/>
      </patternFill>
    </fill>
    <fill>
      <patternFill patternType="solid">
        <fgColor rgb="FFE9F5DB"/>
        <bgColor indexed="64"/>
      </patternFill>
    </fill>
    <fill>
      <patternFill patternType="solid">
        <fgColor rgb="FF7030A0"/>
        <bgColor indexed="64"/>
      </patternFill>
    </fill>
    <fill>
      <patternFill patternType="solid">
        <fgColor rgb="FFF8F3FB"/>
        <bgColor indexed="64"/>
      </patternFill>
    </fill>
    <fill>
      <patternFill patternType="solid">
        <fgColor rgb="FFEEE2F6"/>
        <bgColor indexed="64"/>
      </patternFill>
    </fill>
    <fill>
      <patternFill patternType="solid">
        <fgColor rgb="FF00B050"/>
        <bgColor indexed="64"/>
      </patternFill>
    </fill>
    <fill>
      <patternFill patternType="solid">
        <fgColor rgb="FFB7FFD8"/>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B873F7"/>
        <bgColor indexed="64"/>
      </patternFill>
    </fill>
    <fill>
      <patternFill patternType="solid">
        <fgColor theme="2" tint="-0.499984740745262"/>
        <bgColor indexed="64"/>
      </patternFill>
    </fill>
    <fill>
      <patternFill patternType="solid">
        <fgColor theme="4" tint="0.79998168889431442"/>
        <bgColor indexed="64"/>
      </patternFill>
    </fill>
    <fill>
      <patternFill patternType="solid">
        <fgColor rgb="FFD9D9D9"/>
        <bgColor rgb="FF000000"/>
      </patternFill>
    </fill>
    <fill>
      <patternFill patternType="solid">
        <fgColor rgb="FFFFFFFF"/>
        <bgColor rgb="FF000000"/>
      </patternFill>
    </fill>
    <fill>
      <patternFill patternType="solid">
        <fgColor rgb="FF0070C0"/>
        <bgColor rgb="FF000000"/>
      </patternFill>
    </fill>
    <fill>
      <patternFill patternType="solid">
        <fgColor theme="0"/>
        <bgColor rgb="FF000000"/>
      </patternFill>
    </fill>
    <fill>
      <patternFill patternType="solid">
        <fgColor theme="2" tint="-0.249977111117893"/>
        <bgColor indexed="64"/>
      </patternFill>
    </fill>
    <fill>
      <patternFill patternType="solid">
        <fgColor theme="4" tint="0.39997558519241921"/>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ck">
        <color indexed="64"/>
      </bottom>
      <diagonal/>
    </border>
    <border>
      <left/>
      <right/>
      <top/>
      <bottom style="thick">
        <color rgb="FFFF0000"/>
      </bottom>
      <diagonal/>
    </border>
    <border>
      <left/>
      <right style="thick">
        <color rgb="FFFF0000"/>
      </right>
      <top/>
      <bottom style="thick">
        <color rgb="FFFF0000"/>
      </bottom>
      <diagonal/>
    </border>
    <border>
      <left style="thick">
        <color rgb="FFFF0000"/>
      </left>
      <right style="thick">
        <color rgb="FFFF0000"/>
      </right>
      <top style="thick">
        <color rgb="FFFF0000"/>
      </top>
      <bottom style="thick">
        <color rgb="FFFF0000"/>
      </bottom>
      <diagonal/>
    </border>
    <border>
      <left/>
      <right style="thick">
        <color indexed="64"/>
      </right>
      <top/>
      <bottom/>
      <diagonal/>
    </border>
    <border>
      <left/>
      <right style="thick">
        <color rgb="FFFF0000"/>
      </right>
      <top/>
      <bottom style="thick">
        <color indexed="64"/>
      </bottom>
      <diagonal/>
    </border>
    <border>
      <left style="thick">
        <color indexed="64"/>
      </left>
      <right style="thick">
        <color rgb="FFFF0000"/>
      </right>
      <top style="thick">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top/>
      <bottom style="thin">
        <color theme="9" tint="-0.249977111117893"/>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s>
  <cellStyleXfs count="162">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xf numFmtId="3" fontId="17" fillId="0" borderId="0" applyFont="0" applyFill="0" applyBorder="0" applyAlignment="0" applyProtection="0"/>
    <xf numFmtId="9" fontId="17" fillId="0" borderId="0" applyFont="0" applyFill="0" applyBorder="0" applyAlignment="0" applyProtection="0"/>
    <xf numFmtId="0" fontId="18" fillId="38" borderId="10">
      <alignment horizontal="center" vertical="center"/>
    </xf>
    <xf numFmtId="0" fontId="18" fillId="34" borderId="10">
      <alignment horizontal="center" vertical="center"/>
    </xf>
    <xf numFmtId="0" fontId="18" fillId="33" borderId="10">
      <alignment horizontal="center" vertical="center"/>
    </xf>
    <xf numFmtId="0" fontId="18" fillId="36" borderId="10">
      <alignment horizontal="center" vertical="center"/>
    </xf>
    <xf numFmtId="0" fontId="18" fillId="37" borderId="10">
      <alignment horizontal="center" vertical="center"/>
    </xf>
    <xf numFmtId="0" fontId="18" fillId="35" borderId="10">
      <alignment horizontal="center" vertical="center"/>
    </xf>
    <xf numFmtId="0" fontId="17" fillId="0" borderId="0"/>
    <xf numFmtId="0" fontId="1" fillId="0" borderId="0"/>
    <xf numFmtId="0" fontId="17" fillId="0" borderId="0"/>
    <xf numFmtId="3" fontId="17" fillId="0" borderId="0" applyFont="0" applyFill="0" applyBorder="0" applyAlignment="0" applyProtection="0"/>
    <xf numFmtId="9" fontId="17" fillId="0" borderId="0" applyFont="0" applyFill="0" applyBorder="0" applyAlignment="0" applyProtection="0"/>
    <xf numFmtId="0" fontId="1" fillId="0" borderId="0"/>
    <xf numFmtId="0" fontId="17" fillId="0" borderId="0"/>
    <xf numFmtId="3" fontId="17" fillId="0" borderId="0" applyFont="0" applyFill="0" applyBorder="0" applyAlignment="0" applyProtection="0"/>
    <xf numFmtId="9" fontId="17" fillId="0" borderId="0" applyFont="0" applyFill="0" applyBorder="0" applyAlignment="0" applyProtection="0"/>
    <xf numFmtId="0" fontId="18" fillId="38" borderId="10">
      <alignment horizontal="center" vertical="center"/>
    </xf>
    <xf numFmtId="0" fontId="18" fillId="34" borderId="10">
      <alignment horizontal="center" vertical="center"/>
    </xf>
    <xf numFmtId="0" fontId="18" fillId="33" borderId="10">
      <alignment horizontal="center" vertical="center"/>
    </xf>
    <xf numFmtId="0" fontId="18" fillId="36" borderId="10">
      <alignment horizontal="center" vertical="center"/>
    </xf>
    <xf numFmtId="0" fontId="18" fillId="37" borderId="10">
      <alignment horizontal="center" vertical="center"/>
    </xf>
    <xf numFmtId="0" fontId="18" fillId="35" borderId="10">
      <alignment horizontal="center" vertical="center"/>
    </xf>
    <xf numFmtId="0" fontId="1" fillId="0" borderId="0"/>
    <xf numFmtId="0" fontId="19" fillId="0" borderId="0" applyNumberFormat="0" applyFill="0" applyBorder="0" applyAlignment="0" applyProtection="0"/>
    <xf numFmtId="0" fontId="1" fillId="0" borderId="0"/>
    <xf numFmtId="9" fontId="1" fillId="0" borderId="0" applyFont="0" applyFill="0" applyBorder="0" applyAlignment="0" applyProtection="0"/>
    <xf numFmtId="0" fontId="1" fillId="8" borderId="8" applyNumberFormat="0" applyFont="0" applyAlignment="0" applyProtection="0"/>
    <xf numFmtId="3" fontId="17" fillId="0" borderId="0" applyFont="0" applyFill="0" applyBorder="0" applyAlignment="0" applyProtection="0"/>
    <xf numFmtId="0" fontId="1" fillId="0" borderId="0"/>
    <xf numFmtId="0" fontId="17" fillId="0" borderId="0"/>
    <xf numFmtId="9" fontId="17" fillId="0" borderId="0" applyFont="0" applyFill="0" applyBorder="0" applyAlignment="0" applyProtection="0"/>
    <xf numFmtId="0" fontId="1" fillId="0" borderId="0"/>
    <xf numFmtId="0" fontId="18" fillId="38" borderId="10">
      <alignment horizontal="center" vertical="center"/>
    </xf>
    <xf numFmtId="0" fontId="18" fillId="34" borderId="10">
      <alignment horizontal="center" vertical="center"/>
    </xf>
    <xf numFmtId="0" fontId="18" fillId="33" borderId="10">
      <alignment horizontal="center" vertical="center"/>
    </xf>
    <xf numFmtId="0" fontId="18" fillId="36" borderId="10">
      <alignment horizontal="center" vertical="center"/>
    </xf>
    <xf numFmtId="0" fontId="18" fillId="37" borderId="10">
      <alignment horizontal="center" vertical="center"/>
    </xf>
    <xf numFmtId="0" fontId="18" fillId="35" borderId="10">
      <alignment horizontal="center" vertical="center"/>
    </xf>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8" fillId="38" borderId="10">
      <alignment horizontal="center" vertical="center"/>
    </xf>
    <xf numFmtId="0" fontId="18" fillId="34" borderId="10">
      <alignment horizontal="center" vertical="center"/>
    </xf>
    <xf numFmtId="0" fontId="18" fillId="33" borderId="10">
      <alignment horizontal="center" vertical="center"/>
    </xf>
    <xf numFmtId="0" fontId="18" fillId="36" borderId="10">
      <alignment horizontal="center" vertical="center"/>
    </xf>
    <xf numFmtId="0" fontId="18" fillId="37" borderId="10">
      <alignment horizontal="center" vertical="center"/>
    </xf>
    <xf numFmtId="0" fontId="18" fillId="35" borderId="10">
      <alignment horizontal="center" vertical="center"/>
    </xf>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20"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4" fillId="0" borderId="0"/>
    <xf numFmtId="164" fontId="1" fillId="0" borderId="0" applyFont="0" applyFill="0" applyBorder="0" applyAlignment="0" applyProtection="0"/>
    <xf numFmtId="0" fontId="57" fillId="0" borderId="0"/>
    <xf numFmtId="173" fontId="57" fillId="0" borderId="0" applyBorder="0" applyProtection="0"/>
    <xf numFmtId="173" fontId="57" fillId="0" borderId="0" applyBorder="0" applyProtection="0"/>
    <xf numFmtId="0" fontId="57" fillId="0" borderId="0"/>
    <xf numFmtId="0" fontId="1" fillId="0" borderId="0"/>
    <xf numFmtId="9" fontId="1" fillId="0" borderId="0" applyFont="0" applyFill="0" applyBorder="0" applyAlignment="0" applyProtection="0"/>
  </cellStyleXfs>
  <cellXfs count="443">
    <xf numFmtId="0" fontId="0" fillId="0" borderId="0" xfId="0"/>
    <xf numFmtId="0" fontId="0" fillId="0" borderId="0" xfId="0" applyAlignment="1">
      <alignment wrapText="1"/>
    </xf>
    <xf numFmtId="0" fontId="0" fillId="0" borderId="0" xfId="0" applyAlignment="1">
      <alignment vertical="center" wrapText="1"/>
    </xf>
    <xf numFmtId="0" fontId="24" fillId="0" borderId="0" xfId="0" applyFont="1" applyAlignment="1">
      <alignment horizontal="left"/>
    </xf>
    <xf numFmtId="0" fontId="25" fillId="0" borderId="0" xfId="0" applyFont="1" applyAlignment="1">
      <alignment wrapText="1"/>
    </xf>
    <xf numFmtId="9" fontId="0" fillId="0" borderId="0" xfId="152" applyFont="1"/>
    <xf numFmtId="0" fontId="27" fillId="0" borderId="0" xfId="0" applyFont="1" applyAlignment="1">
      <alignment horizontal="left" vertical="center" indent="6"/>
    </xf>
    <xf numFmtId="9" fontId="0" fillId="0" borderId="0" xfId="0" applyNumberFormat="1"/>
    <xf numFmtId="0" fontId="0" fillId="39" borderId="10" xfId="0" applyFill="1" applyBorder="1" applyAlignment="1">
      <alignment vertical="center" wrapText="1"/>
    </xf>
    <xf numFmtId="9" fontId="0" fillId="39" borderId="10" xfId="0" applyNumberFormat="1" applyFill="1" applyBorder="1" applyAlignment="1">
      <alignment vertical="center" wrapText="1"/>
    </xf>
    <xf numFmtId="0" fontId="0" fillId="39" borderId="10" xfId="0" applyFill="1" applyBorder="1" applyAlignment="1">
      <alignment horizontal="left" vertical="center" wrapText="1"/>
    </xf>
    <xf numFmtId="0" fontId="0" fillId="0" borderId="0" xfId="0" applyAlignment="1">
      <alignment horizontal="left" wrapText="1"/>
    </xf>
    <xf numFmtId="9" fontId="1" fillId="39" borderId="10" xfId="152" applyFill="1" applyBorder="1" applyAlignment="1">
      <alignment horizontal="right" vertical="center" wrapText="1"/>
    </xf>
    <xf numFmtId="9" fontId="1" fillId="39" borderId="10" xfId="152" applyFill="1" applyBorder="1" applyAlignment="1">
      <alignment vertical="center" wrapText="1"/>
    </xf>
    <xf numFmtId="9" fontId="0" fillId="39" borderId="10" xfId="0" applyNumberFormat="1" applyFill="1" applyBorder="1" applyAlignment="1">
      <alignment horizontal="right" vertical="center" wrapText="1"/>
    </xf>
    <xf numFmtId="9" fontId="0" fillId="39" borderId="10" xfId="152" applyFont="1" applyFill="1" applyBorder="1" applyAlignment="1">
      <alignment horizontal="righ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20" fontId="21" fillId="0" borderId="10" xfId="0" applyNumberFormat="1" applyFont="1" applyBorder="1" applyAlignment="1">
      <alignment horizontal="center" vertical="center" wrapText="1"/>
    </xf>
    <xf numFmtId="0" fontId="23" fillId="0" borderId="0" xfId="0" applyFont="1" applyAlignment="1">
      <alignment horizontal="left"/>
    </xf>
    <xf numFmtId="0" fontId="0" fillId="0" borderId="11" xfId="0" applyBorder="1"/>
    <xf numFmtId="0" fontId="15" fillId="44" borderId="12" xfId="0" applyFont="1" applyFill="1" applyBorder="1" applyAlignment="1">
      <alignment vertical="center" wrapText="1"/>
    </xf>
    <xf numFmtId="0" fontId="15" fillId="44" borderId="16" xfId="0" applyFont="1" applyFill="1" applyBorder="1" applyAlignment="1">
      <alignment vertical="center" wrapText="1"/>
    </xf>
    <xf numFmtId="0" fontId="28" fillId="0" borderId="12" xfId="0" applyFont="1" applyBorder="1" applyAlignment="1">
      <alignment horizontal="left"/>
    </xf>
    <xf numFmtId="166" fontId="0" fillId="0" borderId="0" xfId="0" applyNumberFormat="1"/>
    <xf numFmtId="0" fontId="0" fillId="43" borderId="16" xfId="0" applyFill="1" applyBorder="1" applyAlignment="1">
      <alignment horizontal="left" vertical="center" wrapText="1" indent="2"/>
    </xf>
    <xf numFmtId="167" fontId="0" fillId="0" borderId="0" xfId="0" applyNumberFormat="1"/>
    <xf numFmtId="0" fontId="15" fillId="0" borderId="0" xfId="0" applyFont="1"/>
    <xf numFmtId="168" fontId="0" fillId="0" borderId="0" xfId="0" applyNumberFormat="1"/>
    <xf numFmtId="0" fontId="23" fillId="0" borderId="0" xfId="0" applyFont="1"/>
    <xf numFmtId="0" fontId="22" fillId="0" borderId="0" xfId="0" applyFont="1" applyAlignment="1">
      <alignment horizontal="right"/>
    </xf>
    <xf numFmtId="0" fontId="31" fillId="0" borderId="0" xfId="0" applyFont="1" applyAlignment="1">
      <alignment horizontal="left"/>
    </xf>
    <xf numFmtId="0" fontId="25" fillId="0" borderId="0" xfId="0" applyFont="1" applyAlignment="1">
      <alignment horizontal="right"/>
    </xf>
    <xf numFmtId="168" fontId="15" fillId="0" borderId="0" xfId="0" applyNumberFormat="1" applyFont="1" applyAlignment="1">
      <alignment horizontal="center" vertical="center"/>
    </xf>
    <xf numFmtId="169" fontId="0" fillId="0" borderId="0" xfId="0" applyNumberFormat="1" applyAlignment="1">
      <alignment horizontal="center" vertical="center"/>
    </xf>
    <xf numFmtId="168" fontId="0" fillId="0" borderId="0" xfId="0" applyNumberFormat="1" applyAlignment="1">
      <alignment horizontal="center" vertical="center"/>
    </xf>
    <xf numFmtId="0" fontId="0" fillId="0" borderId="0" xfId="0" applyAlignment="1">
      <alignment vertical="center"/>
    </xf>
    <xf numFmtId="0" fontId="15" fillId="0" borderId="0" xfId="0" applyFont="1" applyAlignment="1">
      <alignment horizontal="right"/>
    </xf>
    <xf numFmtId="0" fontId="28" fillId="0" borderId="0" xfId="0" applyFont="1" applyAlignment="1">
      <alignment horizontal="left"/>
    </xf>
    <xf numFmtId="9" fontId="0" fillId="39" borderId="0" xfId="152" applyFont="1" applyFill="1"/>
    <xf numFmtId="0" fontId="0" fillId="39" borderId="0" xfId="0" applyFill="1"/>
    <xf numFmtId="9" fontId="0" fillId="39" borderId="0" xfId="0" applyNumberFormat="1" applyFill="1"/>
    <xf numFmtId="2" fontId="0" fillId="0" borderId="0" xfId="0" applyNumberFormat="1"/>
    <xf numFmtId="0" fontId="0" fillId="39" borderId="0" xfId="0" applyFill="1" applyAlignment="1">
      <alignment horizontal="left" wrapText="1"/>
    </xf>
    <xf numFmtId="0" fontId="23" fillId="0" borderId="0" xfId="0" applyFont="1" applyAlignment="1">
      <alignment horizontal="right"/>
    </xf>
    <xf numFmtId="0" fontId="32" fillId="0" borderId="0" xfId="0" applyFont="1"/>
    <xf numFmtId="0" fontId="0" fillId="0" borderId="0" xfId="0" applyAlignment="1">
      <alignment horizontal="center" vertical="center"/>
    </xf>
    <xf numFmtId="0" fontId="0" fillId="0" borderId="0" xfId="0" applyAlignment="1">
      <alignment horizontal="left" indent="2"/>
    </xf>
    <xf numFmtId="0" fontId="30" fillId="0" borderId="0" xfId="0" applyFont="1"/>
    <xf numFmtId="0" fontId="0" fillId="0" borderId="0" xfId="0" applyAlignment="1">
      <alignment horizontal="left" wrapText="1" indent="2"/>
    </xf>
    <xf numFmtId="0" fontId="33" fillId="0" borderId="0" xfId="0" applyFont="1" applyAlignment="1">
      <alignment wrapText="1"/>
    </xf>
    <xf numFmtId="2" fontId="23" fillId="0" borderId="0" xfId="0" applyNumberFormat="1" applyFont="1" applyAlignment="1">
      <alignment horizontal="left"/>
    </xf>
    <xf numFmtId="165" fontId="0" fillId="0" borderId="0" xfId="0" applyNumberFormat="1" applyAlignment="1">
      <alignment horizontal="center" vertical="center"/>
    </xf>
    <xf numFmtId="0" fontId="0" fillId="0" borderId="0" xfId="0" applyAlignment="1">
      <alignment horizontal="left" vertical="center" wrapText="1" indent="2"/>
    </xf>
    <xf numFmtId="0" fontId="15"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indent="3"/>
    </xf>
    <xf numFmtId="0" fontId="15" fillId="0" borderId="12" xfId="0" applyFont="1" applyBorder="1" applyAlignment="1">
      <alignment horizontal="center" vertical="center" wrapText="1"/>
    </xf>
    <xf numFmtId="0" fontId="15" fillId="0" borderId="12" xfId="0" applyFont="1" applyBorder="1" applyAlignment="1">
      <alignment vertical="center"/>
    </xf>
    <xf numFmtId="0" fontId="0" fillId="0" borderId="0" xfId="0" applyAlignment="1">
      <alignment horizontal="left" vertical="center" indent="3"/>
    </xf>
    <xf numFmtId="0" fontId="0" fillId="42" borderId="0" xfId="0" applyFill="1" applyAlignment="1">
      <alignment wrapText="1"/>
    </xf>
    <xf numFmtId="0" fontId="0" fillId="39" borderId="0" xfId="0" applyFill="1" applyAlignment="1">
      <alignment wrapText="1"/>
    </xf>
    <xf numFmtId="0" fontId="35" fillId="0" borderId="0" xfId="0" applyFont="1"/>
    <xf numFmtId="9" fontId="35" fillId="0" borderId="0" xfId="0" applyNumberFormat="1" applyFont="1"/>
    <xf numFmtId="0" fontId="36" fillId="46" borderId="0" xfId="0" applyFont="1" applyFill="1" applyAlignment="1">
      <alignment horizontal="center"/>
    </xf>
    <xf numFmtId="0" fontId="37" fillId="46" borderId="0" xfId="0" applyFont="1" applyFill="1"/>
    <xf numFmtId="0" fontId="38" fillId="46" borderId="0" xfId="0" applyFont="1" applyFill="1"/>
    <xf numFmtId="0" fontId="40" fillId="39" borderId="0" xfId="0" applyFont="1" applyFill="1" applyAlignment="1">
      <alignment horizontal="left"/>
    </xf>
    <xf numFmtId="0" fontId="41" fillId="39" borderId="0" xfId="0" applyFont="1" applyFill="1" applyAlignment="1">
      <alignment horizontal="left"/>
    </xf>
    <xf numFmtId="0" fontId="42" fillId="39" borderId="0" xfId="0" applyFont="1" applyFill="1"/>
    <xf numFmtId="0" fontId="40" fillId="39" borderId="0" xfId="0" applyFont="1" applyFill="1"/>
    <xf numFmtId="0" fontId="40" fillId="39" borderId="0" xfId="152" applyNumberFormat="1" applyFont="1" applyFill="1"/>
    <xf numFmtId="165" fontId="40" fillId="39" borderId="0" xfId="152" applyNumberFormat="1" applyFont="1" applyFill="1"/>
    <xf numFmtId="0" fontId="43" fillId="47" borderId="0" xfId="0" applyFont="1" applyFill="1"/>
    <xf numFmtId="0" fontId="44" fillId="47" borderId="0" xfId="0" applyFont="1" applyFill="1"/>
    <xf numFmtId="0" fontId="45" fillId="0" borderId="0" xfId="0" applyFont="1" applyAlignment="1">
      <alignment horizontal="center" vertical="center" wrapText="1"/>
    </xf>
    <xf numFmtId="0" fontId="46" fillId="0" borderId="10" xfId="0" applyFont="1" applyBorder="1" applyAlignment="1">
      <alignment horizontal="center"/>
    </xf>
    <xf numFmtId="0" fontId="46" fillId="0" borderId="10" xfId="0" applyFont="1" applyBorder="1" applyAlignment="1">
      <alignment horizontal="center" wrapText="1"/>
    </xf>
    <xf numFmtId="0" fontId="47" fillId="0" borderId="10" xfId="0" applyFont="1" applyBorder="1"/>
    <xf numFmtId="168" fontId="48" fillId="0" borderId="10" xfId="0" applyNumberFormat="1" applyFont="1" applyBorder="1"/>
    <xf numFmtId="1" fontId="48" fillId="0" borderId="10" xfId="0" applyNumberFormat="1" applyFont="1" applyBorder="1"/>
    <xf numFmtId="0" fontId="49" fillId="0" borderId="10" xfId="0" applyFont="1" applyBorder="1"/>
    <xf numFmtId="168" fontId="50" fillId="0" borderId="10" xfId="0" applyNumberFormat="1" applyFont="1" applyBorder="1"/>
    <xf numFmtId="0" fontId="47" fillId="48" borderId="10" xfId="0" applyFont="1" applyFill="1" applyBorder="1"/>
    <xf numFmtId="168" fontId="47" fillId="48" borderId="10" xfId="0" applyNumberFormat="1" applyFont="1" applyFill="1" applyBorder="1"/>
    <xf numFmtId="1" fontId="47" fillId="48" borderId="10" xfId="0" applyNumberFormat="1" applyFont="1" applyFill="1" applyBorder="1"/>
    <xf numFmtId="0" fontId="51" fillId="39" borderId="0" xfId="0" applyFont="1" applyFill="1"/>
    <xf numFmtId="9" fontId="51" fillId="39" borderId="0" xfId="152" applyFont="1" applyFill="1"/>
    <xf numFmtId="2" fontId="51" fillId="39" borderId="0" xfId="0" applyNumberFormat="1" applyFont="1" applyFill="1"/>
    <xf numFmtId="0" fontId="52" fillId="49" borderId="0" xfId="0" applyFont="1" applyFill="1"/>
    <xf numFmtId="0" fontId="53" fillId="49" borderId="0" xfId="0" applyFont="1" applyFill="1"/>
    <xf numFmtId="0" fontId="48" fillId="0" borderId="10" xfId="0" applyFont="1" applyBorder="1" applyAlignment="1">
      <alignment vertical="center" wrapText="1"/>
    </xf>
    <xf numFmtId="171" fontId="48" fillId="0" borderId="10" xfId="0" applyNumberFormat="1" applyFont="1" applyBorder="1" applyAlignment="1">
      <alignment vertical="center"/>
    </xf>
    <xf numFmtId="0" fontId="47" fillId="50" borderId="16" xfId="0" applyFont="1" applyFill="1" applyBorder="1" applyAlignment="1">
      <alignment horizontal="left"/>
    </xf>
    <xf numFmtId="168" fontId="47" fillId="50" borderId="10" xfId="0" applyNumberFormat="1" applyFont="1" applyFill="1" applyBorder="1"/>
    <xf numFmtId="0" fontId="41" fillId="39" borderId="0" xfId="0" applyFont="1" applyFill="1" applyAlignment="1">
      <alignment horizontal="right"/>
    </xf>
    <xf numFmtId="168" fontId="41" fillId="39" borderId="0" xfId="0" applyNumberFormat="1" applyFont="1" applyFill="1"/>
    <xf numFmtId="9" fontId="40" fillId="39" borderId="0" xfId="152" applyFont="1" applyFill="1"/>
    <xf numFmtId="0" fontId="54" fillId="51" borderId="0" xfId="0" applyFont="1" applyFill="1"/>
    <xf numFmtId="0" fontId="53" fillId="51" borderId="0" xfId="0" applyFont="1" applyFill="1"/>
    <xf numFmtId="0" fontId="48" fillId="39" borderId="10" xfId="0" applyFont="1" applyFill="1" applyBorder="1" applyAlignment="1">
      <alignment vertical="center" wrapText="1"/>
    </xf>
    <xf numFmtId="0" fontId="47" fillId="52" borderId="16" xfId="0" applyFont="1" applyFill="1" applyBorder="1" applyAlignment="1">
      <alignment horizontal="left"/>
    </xf>
    <xf numFmtId="1" fontId="47" fillId="52" borderId="10" xfId="0" applyNumberFormat="1" applyFont="1" applyFill="1" applyBorder="1"/>
    <xf numFmtId="0" fontId="48" fillId="39" borderId="0" xfId="0" applyFont="1" applyFill="1"/>
    <xf numFmtId="0" fontId="52" fillId="53" borderId="0" xfId="0" applyFont="1" applyFill="1"/>
    <xf numFmtId="0" fontId="53" fillId="53" borderId="0" xfId="0" applyFont="1" applyFill="1"/>
    <xf numFmtId="0" fontId="47" fillId="54" borderId="16" xfId="0" applyFont="1" applyFill="1" applyBorder="1" applyAlignment="1">
      <alignment horizontal="left"/>
    </xf>
    <xf numFmtId="168" fontId="47" fillId="54" borderId="10" xfId="0" applyNumberFormat="1" applyFont="1" applyFill="1" applyBorder="1"/>
    <xf numFmtId="0" fontId="52" fillId="55" borderId="0" xfId="0" applyFont="1" applyFill="1"/>
    <xf numFmtId="0" fontId="53" fillId="55" borderId="0" xfId="0" applyFont="1" applyFill="1"/>
    <xf numFmtId="0" fontId="47" fillId="56" borderId="10" xfId="0" applyFont="1" applyFill="1" applyBorder="1" applyAlignment="1">
      <alignment vertical="center" wrapText="1"/>
    </xf>
    <xf numFmtId="171" fontId="47" fillId="56" borderId="10" xfId="0" applyNumberFormat="1" applyFont="1" applyFill="1" applyBorder="1" applyAlignment="1">
      <alignment vertical="center"/>
    </xf>
    <xf numFmtId="0" fontId="49" fillId="57" borderId="16" xfId="0" applyFont="1" applyFill="1" applyBorder="1" applyAlignment="1">
      <alignment horizontal="left"/>
    </xf>
    <xf numFmtId="171" fontId="49" fillId="57" borderId="10" xfId="0" applyNumberFormat="1" applyFont="1" applyFill="1" applyBorder="1"/>
    <xf numFmtId="0" fontId="52" fillId="58" borderId="0" xfId="0" applyFont="1" applyFill="1"/>
    <xf numFmtId="0" fontId="53" fillId="58" borderId="0" xfId="0" applyFont="1" applyFill="1"/>
    <xf numFmtId="0" fontId="47" fillId="59" borderId="16" xfId="0" applyFont="1" applyFill="1" applyBorder="1" applyAlignment="1">
      <alignment horizontal="left"/>
    </xf>
    <xf numFmtId="168" fontId="47" fillId="59" borderId="10" xfId="0" applyNumberFormat="1" applyFont="1" applyFill="1" applyBorder="1"/>
    <xf numFmtId="0" fontId="47" fillId="60" borderId="10" xfId="0" applyFont="1" applyFill="1" applyBorder="1" applyAlignment="1">
      <alignment horizontal="left"/>
    </xf>
    <xf numFmtId="168" fontId="47" fillId="60" borderId="10" xfId="0" applyNumberFormat="1" applyFont="1" applyFill="1" applyBorder="1"/>
    <xf numFmtId="0" fontId="49" fillId="39" borderId="0" xfId="0" applyFont="1" applyFill="1" applyAlignment="1">
      <alignment horizontal="left"/>
    </xf>
    <xf numFmtId="168" fontId="49" fillId="39" borderId="0" xfId="0" applyNumberFormat="1" applyFont="1" applyFill="1"/>
    <xf numFmtId="0" fontId="54" fillId="61" borderId="0" xfId="0" applyFont="1" applyFill="1"/>
    <xf numFmtId="0" fontId="53" fillId="61" borderId="0" xfId="0" applyFont="1" applyFill="1"/>
    <xf numFmtId="0" fontId="47" fillId="62" borderId="16" xfId="0" applyFont="1" applyFill="1" applyBorder="1" applyAlignment="1">
      <alignment horizontal="left"/>
    </xf>
    <xf numFmtId="168" fontId="47" fillId="62" borderId="10" xfId="0" applyNumberFormat="1" applyFont="1" applyFill="1" applyBorder="1"/>
    <xf numFmtId="1" fontId="47" fillId="62" borderId="10" xfId="0" applyNumberFormat="1" applyFont="1" applyFill="1" applyBorder="1"/>
    <xf numFmtId="171" fontId="47" fillId="62" borderId="10" xfId="0" applyNumberFormat="1" applyFont="1" applyFill="1" applyBorder="1"/>
    <xf numFmtId="0" fontId="47" fillId="63" borderId="16" xfId="0" applyFont="1" applyFill="1" applyBorder="1" applyAlignment="1">
      <alignment horizontal="left"/>
    </xf>
    <xf numFmtId="168" fontId="47" fillId="63" borderId="10" xfId="0" applyNumberFormat="1" applyFont="1" applyFill="1" applyBorder="1"/>
    <xf numFmtId="171" fontId="47" fillId="63" borderId="10" xfId="0" applyNumberFormat="1" applyFont="1" applyFill="1" applyBorder="1"/>
    <xf numFmtId="0" fontId="55" fillId="39" borderId="0" xfId="0" applyFont="1" applyFill="1"/>
    <xf numFmtId="0" fontId="50" fillId="39" borderId="10" xfId="0" applyFont="1" applyFill="1" applyBorder="1" applyAlignment="1">
      <alignment vertical="center" wrapText="1"/>
    </xf>
    <xf numFmtId="171" fontId="50" fillId="0" borderId="10" xfId="0" applyNumberFormat="1" applyFont="1" applyBorder="1" applyAlignment="1">
      <alignment vertical="center"/>
    </xf>
    <xf numFmtId="0" fontId="50" fillId="39" borderId="16" xfId="0" applyFont="1" applyFill="1" applyBorder="1" applyAlignment="1">
      <alignment vertical="center" wrapText="1"/>
    </xf>
    <xf numFmtId="172" fontId="50" fillId="0" borderId="10" xfId="0" applyNumberFormat="1" applyFont="1" applyBorder="1" applyAlignment="1">
      <alignment vertical="center"/>
    </xf>
    <xf numFmtId="0" fontId="49" fillId="48" borderId="16" xfId="0" applyFont="1" applyFill="1" applyBorder="1" applyAlignment="1">
      <alignment horizontal="left"/>
    </xf>
    <xf numFmtId="168" fontId="49" fillId="48" borderId="10" xfId="0" applyNumberFormat="1" applyFont="1" applyFill="1" applyBorder="1"/>
    <xf numFmtId="171" fontId="49" fillId="48" borderId="10" xfId="0" applyNumberFormat="1" applyFont="1" applyFill="1" applyBorder="1"/>
    <xf numFmtId="0" fontId="54" fillId="64" borderId="0" xfId="0" applyFont="1" applyFill="1"/>
    <xf numFmtId="0" fontId="56" fillId="64" borderId="0" xfId="0" applyFont="1" applyFill="1"/>
    <xf numFmtId="0" fontId="47" fillId="65" borderId="16" xfId="0" applyFont="1" applyFill="1" applyBorder="1" applyAlignment="1">
      <alignment horizontal="left"/>
    </xf>
    <xf numFmtId="168" fontId="47" fillId="65" borderId="10" xfId="0" applyNumberFormat="1" applyFont="1" applyFill="1" applyBorder="1"/>
    <xf numFmtId="170" fontId="48" fillId="0" borderId="10" xfId="155" applyNumberFormat="1" applyFont="1" applyBorder="1"/>
    <xf numFmtId="170" fontId="50" fillId="0" borderId="10" xfId="155" applyNumberFormat="1" applyFont="1" applyBorder="1"/>
    <xf numFmtId="170" fontId="47" fillId="60" borderId="10" xfId="155" applyNumberFormat="1" applyFont="1" applyFill="1" applyBorder="1"/>
    <xf numFmtId="170" fontId="47" fillId="65" borderId="10" xfId="155" applyNumberFormat="1" applyFont="1" applyFill="1" applyBorder="1"/>
    <xf numFmtId="170" fontId="47" fillId="68" borderId="10" xfId="155" applyNumberFormat="1" applyFont="1" applyFill="1" applyBorder="1" applyAlignment="1">
      <alignment vertical="center"/>
    </xf>
    <xf numFmtId="170" fontId="49" fillId="68" borderId="10" xfId="155" applyNumberFormat="1" applyFont="1" applyFill="1" applyBorder="1"/>
    <xf numFmtId="170" fontId="47" fillId="69" borderId="10" xfId="155" applyNumberFormat="1" applyFont="1" applyFill="1" applyBorder="1"/>
    <xf numFmtId="171" fontId="55" fillId="39" borderId="0" xfId="0" applyNumberFormat="1" applyFont="1" applyFill="1"/>
    <xf numFmtId="0" fontId="47" fillId="70" borderId="16" xfId="0" applyFont="1" applyFill="1" applyBorder="1" applyAlignment="1">
      <alignment horizontal="left"/>
    </xf>
    <xf numFmtId="0" fontId="45" fillId="0" borderId="10" xfId="0" applyFont="1" applyBorder="1" applyAlignment="1">
      <alignment horizontal="center"/>
    </xf>
    <xf numFmtId="170" fontId="0" fillId="0" borderId="0" xfId="0" applyNumberFormat="1"/>
    <xf numFmtId="170" fontId="47" fillId="68" borderId="10" xfId="155" applyNumberFormat="1" applyFont="1" applyFill="1" applyBorder="1"/>
    <xf numFmtId="170" fontId="47" fillId="68" borderId="10" xfId="155" applyNumberFormat="1" applyFont="1" applyFill="1" applyBorder="1" applyAlignment="1">
      <alignment horizontal="center" vertical="center"/>
    </xf>
    <xf numFmtId="0" fontId="15" fillId="0" borderId="0" xfId="0" applyFont="1" applyAlignment="1">
      <alignment wrapText="1"/>
    </xf>
    <xf numFmtId="0" fontId="0" fillId="66" borderId="0" xfId="0" applyFill="1"/>
    <xf numFmtId="0" fontId="0" fillId="66" borderId="23" xfId="0" applyFill="1" applyBorder="1"/>
    <xf numFmtId="0" fontId="0" fillId="66" borderId="24" xfId="0" applyFill="1" applyBorder="1"/>
    <xf numFmtId="0" fontId="15" fillId="39" borderId="25" xfId="0" applyFont="1" applyFill="1" applyBorder="1" applyAlignment="1">
      <alignment horizontal="center" vertical="center" wrapText="1"/>
    </xf>
    <xf numFmtId="0" fontId="15" fillId="39" borderId="26" xfId="0" applyFont="1" applyFill="1" applyBorder="1" applyAlignment="1">
      <alignment horizontal="center" vertical="center" wrapText="1"/>
    </xf>
    <xf numFmtId="0" fontId="58" fillId="0" borderId="0" xfId="0" applyFont="1" applyAlignment="1">
      <alignment wrapText="1"/>
    </xf>
    <xf numFmtId="0" fontId="0" fillId="0" borderId="10" xfId="0" applyBorder="1" applyAlignment="1">
      <alignment horizontal="left" vertical="center" wrapText="1"/>
    </xf>
    <xf numFmtId="0" fontId="0" fillId="0" borderId="10" xfId="0" applyBorder="1" applyAlignment="1">
      <alignment vertical="center" wrapText="1"/>
    </xf>
    <xf numFmtId="9" fontId="1" fillId="0" borderId="10" xfId="152" applyBorder="1" applyAlignment="1">
      <alignment vertical="center" wrapText="1"/>
    </xf>
    <xf numFmtId="0" fontId="0" fillId="39" borderId="14" xfId="0" applyFill="1" applyBorder="1" applyAlignment="1">
      <alignment horizontal="left" vertical="center" wrapText="1"/>
    </xf>
    <xf numFmtId="0" fontId="0" fillId="39" borderId="14" xfId="0" applyFill="1" applyBorder="1" applyAlignment="1">
      <alignment vertical="center" wrapText="1"/>
    </xf>
    <xf numFmtId="9" fontId="1" fillId="39" borderId="14" xfId="152" applyFill="1" applyBorder="1" applyAlignment="1">
      <alignment vertical="center" wrapText="1"/>
    </xf>
    <xf numFmtId="9" fontId="0" fillId="0" borderId="10" xfId="152" applyFont="1" applyBorder="1" applyAlignment="1">
      <alignment vertical="center" wrapText="1"/>
    </xf>
    <xf numFmtId="9" fontId="0" fillId="39" borderId="10" xfId="152" applyFont="1" applyFill="1" applyBorder="1" applyAlignment="1">
      <alignment vertical="center" wrapText="1"/>
    </xf>
    <xf numFmtId="0" fontId="0" fillId="39" borderId="20" xfId="0" applyFill="1" applyBorder="1" applyAlignment="1">
      <alignment horizontal="left" vertical="center" wrapText="1"/>
    </xf>
    <xf numFmtId="0" fontId="0" fillId="39" borderId="20" xfId="0" applyFill="1" applyBorder="1" applyAlignment="1">
      <alignment vertical="center" wrapText="1"/>
    </xf>
    <xf numFmtId="9" fontId="1" fillId="39" borderId="20" xfId="152" applyFill="1" applyBorder="1" applyAlignment="1">
      <alignment vertical="center" wrapText="1"/>
    </xf>
    <xf numFmtId="9" fontId="0" fillId="39" borderId="15" xfId="0" applyNumberFormat="1" applyFill="1" applyBorder="1" applyAlignment="1">
      <alignment vertical="center" wrapText="1"/>
    </xf>
    <xf numFmtId="9" fontId="1" fillId="39" borderId="15" xfId="152" applyFill="1" applyBorder="1" applyAlignment="1">
      <alignment vertical="center" wrapText="1"/>
    </xf>
    <xf numFmtId="9" fontId="1" fillId="39" borderId="15" xfId="152" applyFill="1" applyBorder="1" applyAlignment="1">
      <alignment horizontal="right" vertical="center" wrapText="1"/>
    </xf>
    <xf numFmtId="0" fontId="0" fillId="66" borderId="27" xfId="0" applyFill="1" applyBorder="1"/>
    <xf numFmtId="0" fontId="15" fillId="39" borderId="28" xfId="0" applyFont="1" applyFill="1" applyBorder="1" applyAlignment="1">
      <alignment horizontal="center" vertical="center" wrapText="1"/>
    </xf>
    <xf numFmtId="0" fontId="15" fillId="39" borderId="29" xfId="0" applyFont="1" applyFill="1" applyBorder="1" applyAlignment="1">
      <alignment horizontal="center" vertical="center" wrapText="1"/>
    </xf>
    <xf numFmtId="0" fontId="0" fillId="40" borderId="0" xfId="0" applyFill="1" applyAlignment="1">
      <alignment wrapText="1"/>
    </xf>
    <xf numFmtId="0" fontId="58" fillId="40" borderId="0" xfId="0" applyFont="1" applyFill="1" applyAlignment="1">
      <alignment wrapText="1"/>
    </xf>
    <xf numFmtId="0" fontId="59" fillId="40" borderId="0" xfId="0" applyFont="1" applyFill="1" applyAlignment="1">
      <alignment wrapText="1"/>
    </xf>
    <xf numFmtId="0" fontId="0" fillId="40" borderId="0" xfId="0" applyFill="1" applyAlignment="1">
      <alignment horizontal="left" wrapText="1"/>
    </xf>
    <xf numFmtId="0" fontId="0" fillId="40" borderId="0" xfId="0" applyFill="1" applyAlignment="1">
      <alignment vertical="center" wrapText="1"/>
    </xf>
    <xf numFmtId="0" fontId="29" fillId="67" borderId="10" xfId="0" applyFont="1" applyFill="1" applyBorder="1" applyAlignment="1">
      <alignment horizontal="center" vertical="center" wrapText="1"/>
    </xf>
    <xf numFmtId="0" fontId="15" fillId="67" borderId="10" xfId="0" applyFont="1" applyFill="1" applyBorder="1" applyAlignment="1">
      <alignment horizontal="center" vertical="center" wrapText="1"/>
    </xf>
    <xf numFmtId="0" fontId="0" fillId="40" borderId="0" xfId="0" applyFill="1"/>
    <xf numFmtId="0" fontId="29" fillId="67" borderId="30" xfId="0" applyFont="1" applyFill="1" applyBorder="1" applyAlignment="1">
      <alignment horizontal="center" vertical="center" wrapText="1"/>
    </xf>
    <xf numFmtId="0" fontId="15" fillId="71" borderId="10" xfId="0" applyFont="1" applyFill="1" applyBorder="1" applyAlignment="1">
      <alignment horizontal="center" vertical="center" wrapText="1"/>
    </xf>
    <xf numFmtId="0" fontId="0" fillId="43" borderId="10" xfId="0" applyFill="1" applyBorder="1" applyAlignment="1">
      <alignment horizontal="center" vertical="center" wrapText="1"/>
    </xf>
    <xf numFmtId="0" fontId="0" fillId="43" borderId="10" xfId="0" applyFill="1" applyBorder="1" applyAlignment="1">
      <alignment horizontal="center" vertical="center"/>
    </xf>
    <xf numFmtId="0" fontId="15" fillId="44" borderId="10" xfId="0" applyFont="1" applyFill="1" applyBorder="1" applyAlignment="1">
      <alignment vertical="center" wrapText="1"/>
    </xf>
    <xf numFmtId="0" fontId="0" fillId="43" borderId="10" xfId="0" applyFill="1" applyBorder="1" applyAlignment="1">
      <alignment horizontal="left" vertical="center" wrapText="1" indent="2"/>
    </xf>
    <xf numFmtId="0" fontId="21" fillId="43" borderId="10" xfId="0" applyFont="1" applyFill="1" applyBorder="1" applyAlignment="1">
      <alignment horizontal="center" vertical="center" wrapText="1"/>
    </xf>
    <xf numFmtId="9" fontId="21" fillId="0" borderId="10" xfId="0" applyNumberFormat="1" applyFont="1" applyBorder="1" applyAlignment="1">
      <alignment horizontal="center" vertical="center" wrapText="1"/>
    </xf>
    <xf numFmtId="0" fontId="0" fillId="66" borderId="34" xfId="0" applyFill="1" applyBorder="1"/>
    <xf numFmtId="0" fontId="22" fillId="0" borderId="0" xfId="0" applyFont="1"/>
    <xf numFmtId="0" fontId="15" fillId="44" borderId="10" xfId="0" applyFont="1" applyFill="1" applyBorder="1" applyAlignment="1">
      <alignment horizontal="center" vertical="center" wrapText="1"/>
    </xf>
    <xf numFmtId="0" fontId="61" fillId="39" borderId="10" xfId="0" applyFont="1" applyFill="1" applyBorder="1" applyAlignment="1">
      <alignment horizontal="right" vertical="center" wrapText="1"/>
    </xf>
    <xf numFmtId="0" fontId="60" fillId="0" borderId="0" xfId="0" applyFont="1"/>
    <xf numFmtId="171" fontId="61" fillId="0" borderId="10" xfId="0" applyNumberFormat="1" applyFont="1" applyBorder="1" applyAlignment="1">
      <alignment vertical="center"/>
    </xf>
    <xf numFmtId="169" fontId="61" fillId="0" borderId="10" xfId="153" applyNumberFormat="1" applyFont="1" applyBorder="1" applyAlignment="1">
      <alignment vertical="center"/>
    </xf>
    <xf numFmtId="4" fontId="48" fillId="0" borderId="10" xfId="0" applyNumberFormat="1" applyFont="1" applyBorder="1" applyAlignment="1">
      <alignment vertical="center"/>
    </xf>
    <xf numFmtId="0" fontId="0" fillId="0" borderId="10" xfId="0" applyBorder="1" applyAlignment="1">
      <alignment horizontal="center" vertical="center" wrapText="1"/>
    </xf>
    <xf numFmtId="0" fontId="62" fillId="72" borderId="0" xfId="0" applyFont="1" applyFill="1" applyAlignment="1">
      <alignment horizontal="center" vertical="center" wrapText="1"/>
    </xf>
    <xf numFmtId="0" fontId="64" fillId="74" borderId="10" xfId="0" applyFont="1" applyFill="1" applyBorder="1" applyAlignment="1">
      <alignment horizontal="center" vertical="center" wrapText="1"/>
    </xf>
    <xf numFmtId="0" fontId="15" fillId="44" borderId="10" xfId="0" applyFont="1" applyFill="1" applyBorder="1" applyAlignment="1">
      <alignment wrapText="1"/>
    </xf>
    <xf numFmtId="0" fontId="0" fillId="44" borderId="10" xfId="0" applyFill="1" applyBorder="1"/>
    <xf numFmtId="0" fontId="0" fillId="41" borderId="10" xfId="0" applyFill="1" applyBorder="1" applyAlignment="1">
      <alignment horizontal="left" wrapText="1"/>
    </xf>
    <xf numFmtId="0" fontId="28" fillId="0" borderId="10" xfId="0" applyFont="1" applyBorder="1" applyAlignment="1">
      <alignment horizontal="left"/>
    </xf>
    <xf numFmtId="0" fontId="15" fillId="0" borderId="10" xfId="0" applyFont="1" applyBorder="1" applyAlignment="1">
      <alignment horizontal="right"/>
    </xf>
    <xf numFmtId="168" fontId="21" fillId="39" borderId="10" xfId="0" applyNumberFormat="1" applyFont="1" applyFill="1" applyBorder="1"/>
    <xf numFmtId="0" fontId="0" fillId="39" borderId="10" xfId="0" applyFill="1" applyBorder="1"/>
    <xf numFmtId="9" fontId="0" fillId="39" borderId="10" xfId="0" applyNumberFormat="1" applyFill="1" applyBorder="1"/>
    <xf numFmtId="0" fontId="15" fillId="42" borderId="10" xfId="0" applyFont="1" applyFill="1" applyBorder="1"/>
    <xf numFmtId="0" fontId="0" fillId="42" borderId="10" xfId="0" applyFill="1" applyBorder="1"/>
    <xf numFmtId="9" fontId="0" fillId="42" borderId="10" xfId="0" applyNumberFormat="1" applyFill="1" applyBorder="1"/>
    <xf numFmtId="168" fontId="0" fillId="0" borderId="10" xfId="0" applyNumberFormat="1" applyBorder="1"/>
    <xf numFmtId="0" fontId="0" fillId="0" borderId="10" xfId="0" applyBorder="1"/>
    <xf numFmtId="9" fontId="0" fillId="0" borderId="10" xfId="0" applyNumberFormat="1" applyBorder="1"/>
    <xf numFmtId="0" fontId="0" fillId="42" borderId="10" xfId="0" applyFill="1" applyBorder="1" applyAlignment="1">
      <alignment wrapText="1"/>
    </xf>
    <xf numFmtId="0" fontId="0" fillId="0" borderId="10" xfId="0" applyBorder="1" applyAlignment="1">
      <alignment horizontal="center"/>
    </xf>
    <xf numFmtId="9" fontId="0" fillId="0" borderId="10" xfId="152" applyFont="1" applyBorder="1" applyAlignment="1">
      <alignment horizontal="right"/>
    </xf>
    <xf numFmtId="9" fontId="0" fillId="39" borderId="10" xfId="152" applyFont="1" applyFill="1" applyBorder="1"/>
    <xf numFmtId="0" fontId="0" fillId="42" borderId="10" xfId="0" applyFill="1" applyBorder="1" applyAlignment="1">
      <alignment horizontal="center"/>
    </xf>
    <xf numFmtId="9" fontId="0" fillId="42" borderId="10" xfId="152" applyFont="1" applyFill="1" applyBorder="1" applyAlignment="1">
      <alignment horizontal="right"/>
    </xf>
    <xf numFmtId="168" fontId="15" fillId="0" borderId="10" xfId="0" applyNumberFormat="1" applyFont="1" applyBorder="1"/>
    <xf numFmtId="9" fontId="0" fillId="0" borderId="10" xfId="152" applyFont="1" applyBorder="1"/>
    <xf numFmtId="0" fontId="26" fillId="43" borderId="10" xfId="0" applyFont="1" applyFill="1" applyBorder="1" applyAlignment="1">
      <alignment horizontal="left" wrapText="1" indent="2"/>
    </xf>
    <xf numFmtId="0" fontId="0" fillId="43" borderId="10" xfId="0" applyFill="1" applyBorder="1"/>
    <xf numFmtId="0" fontId="0" fillId="43" borderId="10" xfId="0" applyFill="1" applyBorder="1" applyAlignment="1">
      <alignment horizontal="left" indent="2"/>
    </xf>
    <xf numFmtId="0" fontId="0" fillId="43" borderId="10" xfId="0" applyFill="1" applyBorder="1" applyAlignment="1">
      <alignment horizontal="left" indent="3"/>
    </xf>
    <xf numFmtId="0" fontId="0" fillId="43" borderId="10" xfId="0" applyFill="1" applyBorder="1" applyAlignment="1">
      <alignment horizontal="left" wrapText="1"/>
    </xf>
    <xf numFmtId="0" fontId="15" fillId="41" borderId="10" xfId="0" applyFont="1" applyFill="1" applyBorder="1" applyAlignment="1">
      <alignment wrapText="1"/>
    </xf>
    <xf numFmtId="0" fontId="0" fillId="41" borderId="10" xfId="0" applyFill="1" applyBorder="1"/>
    <xf numFmtId="0" fontId="26" fillId="43" borderId="10" xfId="0" applyFont="1" applyFill="1" applyBorder="1" applyAlignment="1">
      <alignment horizontal="left" wrapText="1" indent="3"/>
    </xf>
    <xf numFmtId="0" fontId="15" fillId="41" borderId="10" xfId="0" applyFont="1" applyFill="1" applyBorder="1" applyAlignment="1">
      <alignment horizontal="left"/>
    </xf>
    <xf numFmtId="0" fontId="15" fillId="41" borderId="10" xfId="0" applyFont="1" applyFill="1" applyBorder="1" applyAlignment="1">
      <alignment horizontal="right"/>
    </xf>
    <xf numFmtId="168" fontId="0" fillId="41" borderId="10" xfId="0" applyNumberFormat="1" applyFill="1" applyBorder="1"/>
    <xf numFmtId="9" fontId="0" fillId="41" borderId="10" xfId="0" applyNumberFormat="1" applyFill="1" applyBorder="1"/>
    <xf numFmtId="0" fontId="15" fillId="42" borderId="10" xfId="0" applyFont="1" applyFill="1" applyBorder="1" applyAlignment="1">
      <alignment wrapText="1"/>
    </xf>
    <xf numFmtId="1" fontId="0" fillId="0" borderId="10" xfId="0" applyNumberFormat="1" applyBorder="1"/>
    <xf numFmtId="0" fontId="15" fillId="43" borderId="10" xfId="0" applyFont="1" applyFill="1" applyBorder="1" applyAlignment="1">
      <alignment horizontal="left" indent="2"/>
    </xf>
    <xf numFmtId="0" fontId="60" fillId="0" borderId="10" xfId="0" applyFont="1" applyBorder="1"/>
    <xf numFmtId="0" fontId="28" fillId="0" borderId="10" xfId="0" applyFont="1" applyBorder="1"/>
    <xf numFmtId="2" fontId="0" fillId="39" borderId="10" xfId="0" applyNumberFormat="1" applyFill="1" applyBorder="1"/>
    <xf numFmtId="2" fontId="0" fillId="41" borderId="10" xfId="0" applyNumberFormat="1" applyFill="1" applyBorder="1"/>
    <xf numFmtId="9" fontId="0" fillId="41" borderId="10" xfId="152" applyFont="1" applyFill="1" applyBorder="1"/>
    <xf numFmtId="0" fontId="0" fillId="41" borderId="10" xfId="0" applyFill="1" applyBorder="1" applyAlignment="1">
      <alignment horizontal="left"/>
    </xf>
    <xf numFmtId="0" fontId="26" fillId="43" borderId="10" xfId="0" applyFont="1" applyFill="1" applyBorder="1" applyAlignment="1">
      <alignment horizontal="left" indent="2"/>
    </xf>
    <xf numFmtId="9" fontId="0" fillId="43" borderId="10" xfId="152" applyFont="1" applyFill="1" applyBorder="1"/>
    <xf numFmtId="2" fontId="60" fillId="0" borderId="10" xfId="0" applyNumberFormat="1" applyFont="1" applyBorder="1" applyAlignment="1">
      <alignment horizontal="right" vertical="center"/>
    </xf>
    <xf numFmtId="9" fontId="60" fillId="0" borderId="10" xfId="152" applyFont="1" applyBorder="1"/>
    <xf numFmtId="0" fontId="0" fillId="43" borderId="10" xfId="0" applyFill="1" applyBorder="1" applyAlignment="1">
      <alignment horizontal="left" wrapText="1" indent="2"/>
    </xf>
    <xf numFmtId="9" fontId="60" fillId="0" borderId="10" xfId="0" applyNumberFormat="1" applyFont="1" applyBorder="1"/>
    <xf numFmtId="0" fontId="0" fillId="41" borderId="10" xfId="0" applyFill="1" applyBorder="1" applyAlignment="1">
      <alignment wrapText="1"/>
    </xf>
    <xf numFmtId="168" fontId="0" fillId="42" borderId="10" xfId="0" applyNumberFormat="1" applyFill="1" applyBorder="1"/>
    <xf numFmtId="168" fontId="0" fillId="0" borderId="10" xfId="0" applyNumberFormat="1" applyBorder="1" applyAlignment="1">
      <alignment horizontal="center"/>
    </xf>
    <xf numFmtId="168" fontId="0" fillId="39" borderId="10" xfId="0" applyNumberFormat="1" applyFill="1" applyBorder="1"/>
    <xf numFmtId="168" fontId="0" fillId="42" borderId="10" xfId="0" applyNumberFormat="1" applyFill="1" applyBorder="1" applyAlignment="1">
      <alignment horizontal="center"/>
    </xf>
    <xf numFmtId="168" fontId="60" fillId="39" borderId="10" xfId="0" applyNumberFormat="1" applyFont="1" applyFill="1" applyBorder="1"/>
    <xf numFmtId="9" fontId="60" fillId="39" borderId="10" xfId="152" applyFont="1" applyFill="1" applyBorder="1"/>
    <xf numFmtId="0" fontId="60" fillId="39" borderId="10" xfId="0" applyFont="1" applyFill="1" applyBorder="1"/>
    <xf numFmtId="9" fontId="60" fillId="39" borderId="10" xfId="0" applyNumberFormat="1" applyFont="1" applyFill="1" applyBorder="1"/>
    <xf numFmtId="0" fontId="60" fillId="39" borderId="10" xfId="0" applyFont="1" applyFill="1" applyBorder="1" applyAlignment="1">
      <alignment horizontal="center"/>
    </xf>
    <xf numFmtId="9" fontId="60" fillId="39" borderId="10" xfId="152" applyFont="1" applyFill="1" applyBorder="1" applyAlignment="1">
      <alignment horizontal="right"/>
    </xf>
    <xf numFmtId="0" fontId="15" fillId="0" borderId="10" xfId="0" applyFont="1" applyBorder="1" applyAlignment="1">
      <alignment horizontal="left" wrapText="1"/>
    </xf>
    <xf numFmtId="0" fontId="15" fillId="0" borderId="10" xfId="0" applyFont="1" applyBorder="1"/>
    <xf numFmtId="0" fontId="0" fillId="0" borderId="10" xfId="0" applyBorder="1" applyAlignment="1">
      <alignment horizontal="left" indent="3"/>
    </xf>
    <xf numFmtId="2" fontId="0" fillId="0" borderId="10" xfId="0" applyNumberFormat="1" applyBorder="1"/>
    <xf numFmtId="0" fontId="0" fillId="0" borderId="10" xfId="0" applyBorder="1" applyAlignment="1">
      <alignment horizontal="left" wrapText="1" indent="2"/>
    </xf>
    <xf numFmtId="2" fontId="0" fillId="0" borderId="10" xfId="0" applyNumberFormat="1" applyBorder="1" applyAlignment="1">
      <alignment wrapText="1"/>
    </xf>
    <xf numFmtId="0" fontId="0" fillId="0" borderId="10" xfId="0" applyBorder="1" applyAlignment="1">
      <alignment horizontal="left" wrapText="1" indent="3"/>
    </xf>
    <xf numFmtId="0" fontId="15" fillId="0" borderId="10" xfId="0" applyFont="1" applyBorder="1" applyAlignment="1">
      <alignment horizontal="center"/>
    </xf>
    <xf numFmtId="0" fontId="0" fillId="0" borderId="10" xfId="0" applyBorder="1" applyAlignment="1">
      <alignment horizontal="left" vertical="center"/>
    </xf>
    <xf numFmtId="168" fontId="0" fillId="0" borderId="10" xfId="0" applyNumberFormat="1" applyBorder="1" applyAlignment="1">
      <alignment horizontal="center" vertical="center"/>
    </xf>
    <xf numFmtId="0" fontId="0" fillId="0" borderId="10" xfId="0" applyBorder="1" applyAlignment="1">
      <alignment vertical="center"/>
    </xf>
    <xf numFmtId="0" fontId="0" fillId="0" borderId="10" xfId="0" applyBorder="1" applyAlignment="1">
      <alignment horizontal="left" vertical="center" indent="3"/>
    </xf>
    <xf numFmtId="0" fontId="28" fillId="0" borderId="10" xfId="0" applyFont="1" applyBorder="1" applyAlignment="1">
      <alignment horizontal="right" vertical="center" indent="2"/>
    </xf>
    <xf numFmtId="0" fontId="0" fillId="0" borderId="10" xfId="0" applyBorder="1" applyAlignment="1">
      <alignment horizontal="left" vertical="center" wrapText="1" indent="3"/>
    </xf>
    <xf numFmtId="0" fontId="0" fillId="0" borderId="10" xfId="0" applyBorder="1" applyAlignment="1">
      <alignment horizontal="left" vertical="center" wrapText="1" indent="2"/>
    </xf>
    <xf numFmtId="0" fontId="0" fillId="0" borderId="10" xfId="0" applyBorder="1" applyAlignment="1">
      <alignment horizontal="left" vertical="center" indent="2"/>
    </xf>
    <xf numFmtId="0" fontId="28" fillId="0" borderId="10" xfId="0" applyFont="1" applyBorder="1" applyAlignment="1">
      <alignment horizontal="right" vertical="center" indent="4"/>
    </xf>
    <xf numFmtId="0" fontId="0" fillId="0" borderId="10" xfId="0" applyBorder="1" applyAlignment="1">
      <alignment horizontal="right"/>
    </xf>
    <xf numFmtId="0" fontId="0" fillId="0" borderId="10" xfId="0" applyBorder="1" applyAlignment="1">
      <alignment horizontal="right" wrapText="1"/>
    </xf>
    <xf numFmtId="0" fontId="29" fillId="67" borderId="38" xfId="0" applyFont="1" applyFill="1" applyBorder="1" applyAlignment="1">
      <alignment horizontal="center" vertical="center" wrapText="1"/>
    </xf>
    <xf numFmtId="0" fontId="0" fillId="0" borderId="39" xfId="0" applyBorder="1" applyAlignment="1">
      <alignment horizontal="left" vertical="center" wrapText="1"/>
    </xf>
    <xf numFmtId="0" fontId="0" fillId="0" borderId="39" xfId="0" applyBorder="1" applyAlignment="1">
      <alignment vertical="center" wrapText="1"/>
    </xf>
    <xf numFmtId="9" fontId="0" fillId="0" borderId="39" xfId="0" applyNumberFormat="1" applyBorder="1" applyAlignment="1">
      <alignment vertical="center" wrapText="1"/>
    </xf>
    <xf numFmtId="170" fontId="48" fillId="0" borderId="10" xfId="155" applyNumberFormat="1" applyFont="1" applyBorder="1" applyAlignment="1">
      <alignment horizontal="center" vertical="center"/>
    </xf>
    <xf numFmtId="0" fontId="58" fillId="40" borderId="0" xfId="0" applyFont="1" applyFill="1" applyAlignment="1">
      <alignment vertical="center"/>
    </xf>
    <xf numFmtId="0" fontId="58" fillId="40" borderId="11" xfId="0" applyFont="1" applyFill="1" applyBorder="1" applyAlignment="1">
      <alignment horizontal="center" vertical="center" wrapText="1"/>
    </xf>
    <xf numFmtId="0" fontId="0" fillId="0" borderId="10" xfId="0" applyBorder="1" applyAlignment="1">
      <alignment horizontal="left" vertical="top"/>
    </xf>
    <xf numFmtId="0" fontId="1" fillId="0" borderId="0" xfId="160"/>
    <xf numFmtId="0" fontId="58" fillId="0" borderId="0" xfId="160" applyFont="1"/>
    <xf numFmtId="0" fontId="1" fillId="40" borderId="0" xfId="160" applyFill="1"/>
    <xf numFmtId="0" fontId="58" fillId="40" borderId="0" xfId="160" applyFont="1" applyFill="1"/>
    <xf numFmtId="9" fontId="1" fillId="40" borderId="0" xfId="160" applyNumberFormat="1" applyFill="1"/>
    <xf numFmtId="0" fontId="58" fillId="40" borderId="0" xfId="160" applyFont="1" applyFill="1" applyAlignment="1">
      <alignment wrapText="1"/>
    </xf>
    <xf numFmtId="0" fontId="59" fillId="40" borderId="0" xfId="160" applyFont="1" applyFill="1" applyAlignment="1">
      <alignment wrapText="1"/>
    </xf>
    <xf numFmtId="9" fontId="1" fillId="0" borderId="19" xfId="160" applyNumberFormat="1" applyBorder="1" applyAlignment="1">
      <alignment vertical="center" wrapText="1"/>
    </xf>
    <xf numFmtId="0" fontId="1" fillId="0" borderId="14" xfId="160" applyBorder="1" applyAlignment="1">
      <alignment vertical="center" wrapText="1"/>
    </xf>
    <xf numFmtId="0" fontId="1" fillId="0" borderId="21" xfId="160" applyBorder="1" applyAlignment="1">
      <alignment horizontal="left" vertical="center" wrapText="1"/>
    </xf>
    <xf numFmtId="9" fontId="0" fillId="39" borderId="15" xfId="161" applyFont="1" applyFill="1" applyBorder="1" applyAlignment="1">
      <alignment wrapText="1"/>
    </xf>
    <xf numFmtId="0" fontId="1" fillId="39" borderId="10" xfId="160" applyFill="1" applyBorder="1" applyAlignment="1">
      <alignment vertical="center" wrapText="1"/>
    </xf>
    <xf numFmtId="0" fontId="1" fillId="39" borderId="17" xfId="160" applyFill="1" applyBorder="1" applyAlignment="1">
      <alignment horizontal="left" vertical="center" wrapText="1"/>
    </xf>
    <xf numFmtId="9" fontId="1" fillId="39" borderId="15" xfId="160" applyNumberFormat="1" applyFill="1" applyBorder="1" applyAlignment="1">
      <alignment wrapText="1"/>
    </xf>
    <xf numFmtId="0" fontId="1" fillId="39" borderId="10" xfId="160" applyFill="1" applyBorder="1" applyAlignment="1">
      <alignment horizontal="left" vertical="center" wrapText="1"/>
    </xf>
    <xf numFmtId="9" fontId="21" fillId="39" borderId="15" xfId="160" applyNumberFormat="1" applyFont="1" applyFill="1" applyBorder="1" applyAlignment="1">
      <alignment wrapText="1"/>
    </xf>
    <xf numFmtId="0" fontId="1" fillId="39" borderId="10" xfId="160" applyFill="1" applyBorder="1" applyAlignment="1">
      <alignment wrapText="1"/>
    </xf>
    <xf numFmtId="9" fontId="1" fillId="39" borderId="15" xfId="160" applyNumberFormat="1" applyFill="1" applyBorder="1" applyAlignment="1">
      <alignment vertical="center" wrapText="1"/>
    </xf>
    <xf numFmtId="0" fontId="21" fillId="39" borderId="15" xfId="160" applyFont="1" applyFill="1" applyBorder="1" applyAlignment="1">
      <alignment vertical="center" wrapText="1"/>
    </xf>
    <xf numFmtId="0" fontId="21" fillId="39" borderId="10" xfId="160" applyFont="1" applyFill="1" applyBorder="1" applyAlignment="1">
      <alignment vertical="center" wrapText="1"/>
    </xf>
    <xf numFmtId="9" fontId="1" fillId="39" borderId="15" xfId="161" applyFill="1" applyBorder="1" applyAlignment="1">
      <alignment vertical="center" wrapText="1"/>
    </xf>
    <xf numFmtId="0" fontId="1" fillId="0" borderId="10" xfId="160" applyBorder="1" applyAlignment="1">
      <alignment vertical="center" wrapText="1"/>
    </xf>
    <xf numFmtId="9" fontId="1" fillId="39" borderId="15" xfId="161" applyFill="1" applyBorder="1" applyAlignment="1">
      <alignment horizontal="right" vertical="center" wrapText="1"/>
    </xf>
    <xf numFmtId="0" fontId="1" fillId="0" borderId="10" xfId="160" applyBorder="1" applyAlignment="1">
      <alignment horizontal="left" vertical="center" wrapText="1"/>
    </xf>
    <xf numFmtId="9" fontId="0" fillId="39" borderId="15" xfId="161" applyFont="1" applyFill="1" applyBorder="1" applyAlignment="1">
      <alignment horizontal="right" wrapText="1"/>
    </xf>
    <xf numFmtId="0" fontId="1" fillId="0" borderId="17" xfId="160" applyBorder="1" applyAlignment="1">
      <alignment horizontal="left" vertical="center" wrapText="1"/>
    </xf>
    <xf numFmtId="9" fontId="0" fillId="0" borderId="15" xfId="161" applyFont="1" applyBorder="1" applyAlignment="1">
      <alignment wrapText="1"/>
    </xf>
    <xf numFmtId="9" fontId="0" fillId="0" borderId="15" xfId="161" applyFont="1" applyBorder="1" applyAlignment="1">
      <alignment vertical="center" wrapText="1"/>
    </xf>
    <xf numFmtId="0" fontId="58" fillId="40" borderId="0" xfId="160" applyFont="1" applyFill="1" applyAlignment="1">
      <alignment vertical="center"/>
    </xf>
    <xf numFmtId="0" fontId="29" fillId="67" borderId="18" xfId="160" applyFont="1" applyFill="1" applyBorder="1" applyAlignment="1">
      <alignment horizontal="center" vertical="center" wrapText="1"/>
    </xf>
    <xf numFmtId="0" fontId="15" fillId="67" borderId="20" xfId="160" applyFont="1" applyFill="1" applyBorder="1" applyAlignment="1">
      <alignment horizontal="center" vertical="center" wrapText="1"/>
    </xf>
    <xf numFmtId="0" fontId="15" fillId="67" borderId="22" xfId="160" applyFont="1" applyFill="1" applyBorder="1" applyAlignment="1">
      <alignment horizontal="center" vertical="center" wrapText="1"/>
    </xf>
    <xf numFmtId="0" fontId="0" fillId="66" borderId="15" xfId="0" applyFill="1" applyBorder="1"/>
    <xf numFmtId="0" fontId="0" fillId="66" borderId="16" xfId="0" applyFill="1" applyBorder="1"/>
    <xf numFmtId="174" fontId="0" fillId="0" borderId="0" xfId="0" applyNumberFormat="1"/>
    <xf numFmtId="0" fontId="0" fillId="43" borderId="10" xfId="0" applyFill="1" applyBorder="1" applyAlignment="1">
      <alignment horizontal="left" vertical="center" indent="2"/>
    </xf>
    <xf numFmtId="175" fontId="0" fillId="0" borderId="10" xfId="0" applyNumberFormat="1" applyBorder="1"/>
    <xf numFmtId="168" fontId="47" fillId="76" borderId="10" xfId="0" applyNumberFormat="1" applyFont="1" applyFill="1" applyBorder="1"/>
    <xf numFmtId="171" fontId="48" fillId="0" borderId="10" xfId="0" applyNumberFormat="1" applyFont="1" applyBorder="1" applyAlignment="1">
      <alignment horizontal="center" vertical="center"/>
    </xf>
    <xf numFmtId="170" fontId="66" fillId="0" borderId="10" xfId="155" applyNumberFormat="1" applyFont="1" applyBorder="1"/>
    <xf numFmtId="170" fontId="66" fillId="0" borderId="10" xfId="155" applyNumberFormat="1" applyFont="1" applyBorder="1" applyAlignment="1">
      <alignment horizontal="center" vertical="center"/>
    </xf>
    <xf numFmtId="170" fontId="67" fillId="76" borderId="10" xfId="155" applyNumberFormat="1" applyFont="1" applyFill="1" applyBorder="1"/>
    <xf numFmtId="168" fontId="47" fillId="77" borderId="10" xfId="0" applyNumberFormat="1" applyFont="1" applyFill="1" applyBorder="1"/>
    <xf numFmtId="170" fontId="47" fillId="77" borderId="10" xfId="155" applyNumberFormat="1" applyFont="1" applyFill="1" applyBorder="1"/>
    <xf numFmtId="170" fontId="48" fillId="0" borderId="10" xfId="155" applyNumberFormat="1" applyFont="1" applyBorder="1" applyAlignment="1">
      <alignment vertical="center"/>
    </xf>
    <xf numFmtId="1" fontId="47" fillId="71" borderId="10" xfId="0" applyNumberFormat="1" applyFont="1" applyFill="1" applyBorder="1"/>
    <xf numFmtId="1" fontId="47" fillId="67" borderId="10" xfId="0" applyNumberFormat="1" applyFont="1" applyFill="1" applyBorder="1"/>
    <xf numFmtId="176" fontId="47" fillId="67" borderId="10" xfId="155" applyNumberFormat="1" applyFont="1" applyFill="1" applyBorder="1"/>
    <xf numFmtId="170" fontId="48" fillId="0" borderId="10" xfId="155" applyNumberFormat="1" applyFont="1" applyBorder="1" applyAlignment="1">
      <alignment horizontal="right" vertical="center"/>
    </xf>
    <xf numFmtId="171" fontId="61" fillId="0" borderId="10" xfId="0" applyNumberFormat="1" applyFont="1" applyBorder="1" applyAlignment="1">
      <alignment horizontal="right" vertical="center"/>
    </xf>
    <xf numFmtId="170" fontId="49" fillId="68" borderId="10" xfId="155" applyNumberFormat="1" applyFont="1" applyFill="1" applyBorder="1" applyAlignment="1">
      <alignment vertical="center"/>
    </xf>
    <xf numFmtId="170" fontId="47" fillId="59" borderId="10" xfId="155" applyNumberFormat="1" applyFont="1" applyFill="1" applyBorder="1" applyAlignment="1">
      <alignment vertical="center"/>
    </xf>
    <xf numFmtId="168" fontId="47" fillId="59" borderId="10" xfId="0" applyNumberFormat="1" applyFont="1" applyFill="1" applyBorder="1" applyAlignment="1">
      <alignment vertical="center"/>
    </xf>
    <xf numFmtId="170" fontId="47" fillId="60" borderId="10" xfId="155" applyNumberFormat="1" applyFont="1" applyFill="1" applyBorder="1" applyAlignment="1">
      <alignment vertical="center"/>
    </xf>
    <xf numFmtId="170" fontId="61" fillId="0" borderId="10" xfId="155" applyNumberFormat="1" applyFont="1" applyBorder="1" applyAlignment="1">
      <alignment vertical="center"/>
    </xf>
    <xf numFmtId="170" fontId="47" fillId="62" borderId="10" xfId="155" applyNumberFormat="1" applyFont="1" applyFill="1" applyBorder="1" applyAlignment="1">
      <alignment vertical="center"/>
    </xf>
    <xf numFmtId="170" fontId="47" fillId="63" borderId="10" xfId="155" applyNumberFormat="1" applyFont="1" applyFill="1" applyBorder="1" applyAlignment="1">
      <alignment vertical="center"/>
    </xf>
    <xf numFmtId="170" fontId="49" fillId="48" borderId="10" xfId="155" applyNumberFormat="1" applyFont="1" applyFill="1" applyBorder="1" applyAlignment="1">
      <alignment vertical="center"/>
    </xf>
    <xf numFmtId="170" fontId="47" fillId="65" borderId="10" xfId="155" applyNumberFormat="1" applyFont="1" applyFill="1" applyBorder="1" applyAlignment="1">
      <alignment vertical="center"/>
    </xf>
    <xf numFmtId="168" fontId="47" fillId="77" borderId="10" xfId="0" applyNumberFormat="1" applyFont="1" applyFill="1" applyBorder="1" applyAlignment="1">
      <alignment horizontal="center"/>
    </xf>
    <xf numFmtId="170" fontId="47" fillId="71" borderId="10" xfId="155" applyNumberFormat="1" applyFont="1" applyFill="1" applyBorder="1"/>
    <xf numFmtId="1" fontId="47" fillId="67" borderId="10" xfId="0" applyNumberFormat="1" applyFont="1" applyFill="1" applyBorder="1" applyAlignment="1">
      <alignment vertical="center"/>
    </xf>
    <xf numFmtId="170" fontId="47" fillId="67" borderId="10" xfId="155" applyNumberFormat="1" applyFont="1" applyFill="1" applyBorder="1" applyAlignment="1">
      <alignment vertical="center"/>
    </xf>
    <xf numFmtId="170" fontId="47" fillId="69" borderId="10" xfId="155" applyNumberFormat="1" applyFont="1" applyFill="1" applyBorder="1" applyAlignment="1">
      <alignment vertical="center"/>
    </xf>
    <xf numFmtId="171" fontId="48" fillId="0" borderId="10" xfId="0" applyNumberFormat="1" applyFont="1" applyBorder="1" applyAlignment="1">
      <alignment horizontal="right" vertical="center"/>
    </xf>
    <xf numFmtId="1" fontId="47" fillId="71" borderId="10" xfId="0" applyNumberFormat="1" applyFont="1" applyFill="1" applyBorder="1" applyAlignment="1">
      <alignment vertical="center"/>
    </xf>
    <xf numFmtId="170" fontId="47" fillId="71" borderId="10" xfId="155" applyNumberFormat="1" applyFont="1" applyFill="1" applyBorder="1" applyAlignment="1">
      <alignment vertical="center"/>
    </xf>
    <xf numFmtId="0" fontId="0" fillId="0" borderId="17" xfId="160" applyFont="1" applyBorder="1" applyAlignment="1">
      <alignment horizontal="left" vertical="center" wrapText="1"/>
    </xf>
    <xf numFmtId="0" fontId="0" fillId="39" borderId="17" xfId="160" applyFont="1" applyFill="1" applyBorder="1" applyAlignment="1">
      <alignment horizontal="left" vertical="center" wrapText="1"/>
    </xf>
    <xf numFmtId="0" fontId="62" fillId="73" borderId="10" xfId="0" applyFont="1" applyFill="1" applyBorder="1" applyAlignment="1">
      <alignment horizontal="left" vertical="center" wrapText="1"/>
    </xf>
    <xf numFmtId="0" fontId="62" fillId="75" borderId="10" xfId="0" applyFont="1" applyFill="1" applyBorder="1" applyAlignment="1">
      <alignment horizontal="left" vertical="center" wrapText="1"/>
    </xf>
    <xf numFmtId="0" fontId="63" fillId="73" borderId="10" xfId="0" applyFont="1" applyFill="1" applyBorder="1" applyAlignment="1">
      <alignment horizontal="center" vertical="center" wrapText="1"/>
    </xf>
    <xf numFmtId="0" fontId="64" fillId="74" borderId="10" xfId="0" applyFont="1" applyFill="1" applyBorder="1" applyAlignment="1">
      <alignment horizontal="center" vertical="center" wrapText="1"/>
    </xf>
    <xf numFmtId="0" fontId="15" fillId="45" borderId="32" xfId="0" applyFont="1" applyFill="1" applyBorder="1" applyAlignment="1">
      <alignment horizontal="center" vertical="center" wrapText="1"/>
    </xf>
    <xf numFmtId="0" fontId="15" fillId="45" borderId="33" xfId="0" applyFont="1" applyFill="1" applyBorder="1" applyAlignment="1">
      <alignment horizontal="center" vertical="center" wrapText="1"/>
    </xf>
    <xf numFmtId="0" fontId="15" fillId="67" borderId="35" xfId="0" applyFont="1" applyFill="1" applyBorder="1" applyAlignment="1">
      <alignment horizontal="center" vertical="center" wrapText="1"/>
    </xf>
    <xf numFmtId="0" fontId="15" fillId="67" borderId="36" xfId="0" applyFont="1" applyFill="1" applyBorder="1" applyAlignment="1">
      <alignment horizontal="center" vertical="center" wrapText="1"/>
    </xf>
    <xf numFmtId="0" fontId="15" fillId="67" borderId="37" xfId="0" applyFont="1" applyFill="1" applyBorder="1" applyAlignment="1">
      <alignment horizontal="center" vertical="center" wrapText="1"/>
    </xf>
    <xf numFmtId="0" fontId="15" fillId="67" borderId="15" xfId="0" applyFont="1" applyFill="1" applyBorder="1" applyAlignment="1">
      <alignment horizontal="center" vertical="center" wrapText="1"/>
    </xf>
    <xf numFmtId="0" fontId="15" fillId="67" borderId="16" xfId="0" applyFont="1" applyFill="1" applyBorder="1" applyAlignment="1">
      <alignment horizontal="center" vertical="center" wrapText="1"/>
    </xf>
    <xf numFmtId="0" fontId="15" fillId="67" borderId="21" xfId="0" applyFont="1" applyFill="1" applyBorder="1" applyAlignment="1">
      <alignment horizontal="center" vertical="center" wrapText="1"/>
    </xf>
    <xf numFmtId="0" fontId="15" fillId="67" borderId="10" xfId="160" applyFont="1" applyFill="1" applyBorder="1" applyAlignment="1">
      <alignment horizontal="center" vertical="center" wrapText="1"/>
    </xf>
    <xf numFmtId="0" fontId="15" fillId="45" borderId="32" xfId="160" applyFont="1" applyFill="1" applyBorder="1" applyAlignment="1">
      <alignment horizontal="center" vertical="center" wrapText="1"/>
    </xf>
    <xf numFmtId="0" fontId="15" fillId="45" borderId="33" xfId="160" applyFont="1" applyFill="1" applyBorder="1" applyAlignment="1">
      <alignment horizontal="center" vertical="center" wrapText="1"/>
    </xf>
    <xf numFmtId="0" fontId="15" fillId="71" borderId="10" xfId="0" applyFont="1" applyFill="1" applyBorder="1" applyAlignment="1">
      <alignment horizontal="center" vertical="center" wrapText="1"/>
    </xf>
    <xf numFmtId="0" fontId="0" fillId="0" borderId="10" xfId="0" applyBorder="1" applyAlignment="1">
      <alignment horizontal="center" vertical="center" wrapText="1"/>
    </xf>
    <xf numFmtId="0" fontId="15" fillId="44" borderId="15" xfId="0" applyFont="1" applyFill="1" applyBorder="1" applyAlignment="1">
      <alignment horizontal="center" vertical="center"/>
    </xf>
    <xf numFmtId="0" fontId="15" fillId="44" borderId="16" xfId="0" applyFont="1" applyFill="1" applyBorder="1" applyAlignment="1">
      <alignment horizontal="center" vertical="center"/>
    </xf>
    <xf numFmtId="0" fontId="15" fillId="44" borderId="17" xfId="0" applyFont="1" applyFill="1" applyBorder="1" applyAlignment="1">
      <alignment horizontal="center" vertical="center"/>
    </xf>
    <xf numFmtId="0" fontId="0" fillId="0" borderId="10" xfId="0" applyBorder="1" applyAlignment="1">
      <alignment horizontal="center"/>
    </xf>
    <xf numFmtId="0" fontId="23" fillId="0" borderId="0" xfId="0" applyFont="1" applyAlignment="1">
      <alignment horizontal="left"/>
    </xf>
    <xf numFmtId="0" fontId="0" fillId="0" borderId="10" xfId="0" applyBorder="1" applyAlignment="1">
      <alignment horizontal="center" vertical="center"/>
    </xf>
    <xf numFmtId="0" fontId="21" fillId="0" borderId="10" xfId="0" applyFont="1" applyBorder="1" applyAlignment="1">
      <alignment horizontal="center" vertical="center" wrapText="1"/>
    </xf>
    <xf numFmtId="0" fontId="0" fillId="43" borderId="10" xfId="0" applyFill="1" applyBorder="1" applyAlignment="1">
      <alignment horizontal="left" vertical="center" wrapText="1" indent="2"/>
    </xf>
    <xf numFmtId="9" fontId="15" fillId="41" borderId="10" xfId="0" applyNumberFormat="1" applyFont="1" applyFill="1" applyBorder="1" applyAlignment="1">
      <alignment horizontal="center" vertical="center"/>
    </xf>
    <xf numFmtId="0" fontId="0" fillId="39" borderId="10" xfId="0" applyFill="1" applyBorder="1" applyAlignment="1">
      <alignment horizontal="center" vertical="center" wrapText="1"/>
    </xf>
    <xf numFmtId="0" fontId="0" fillId="43" borderId="10" xfId="0" applyFill="1" applyBorder="1" applyAlignment="1">
      <alignment horizontal="center" vertical="center" wrapText="1"/>
    </xf>
    <xf numFmtId="9" fontId="0" fillId="0" borderId="10" xfId="0" applyNumberFormat="1" applyBorder="1" applyAlignment="1">
      <alignment horizontal="center" vertical="center" wrapText="1"/>
    </xf>
    <xf numFmtId="9" fontId="0" fillId="0" borderId="15" xfId="0" applyNumberFormat="1" applyBorder="1" applyAlignment="1">
      <alignment horizontal="center" vertical="center" wrapText="1"/>
    </xf>
    <xf numFmtId="9" fontId="0" fillId="0" borderId="16" xfId="0" applyNumberFormat="1" applyBorder="1" applyAlignment="1">
      <alignment horizontal="center" vertical="center" wrapText="1"/>
    </xf>
    <xf numFmtId="9" fontId="0" fillId="0" borderId="17" xfId="0" applyNumberFormat="1" applyBorder="1" applyAlignment="1">
      <alignment horizontal="center" vertical="center" wrapText="1"/>
    </xf>
    <xf numFmtId="9" fontId="15" fillId="41" borderId="16" xfId="0" applyNumberFormat="1" applyFont="1" applyFill="1" applyBorder="1" applyAlignment="1">
      <alignment horizontal="center" vertical="center"/>
    </xf>
    <xf numFmtId="20" fontId="0" fillId="0" borderId="10" xfId="0" applyNumberFormat="1" applyBorder="1" applyAlignment="1">
      <alignment horizontal="center" vertical="center" wrapText="1"/>
    </xf>
    <xf numFmtId="0" fontId="0" fillId="0" borderId="0" xfId="0" applyAlignment="1">
      <alignment horizontal="center" vertical="center" wrapText="1"/>
    </xf>
    <xf numFmtId="0" fontId="0" fillId="43" borderId="13" xfId="0" applyFill="1" applyBorder="1" applyAlignment="1">
      <alignment horizontal="left" vertical="center" wrapText="1"/>
    </xf>
    <xf numFmtId="0" fontId="0" fillId="43" borderId="12" xfId="0" applyFill="1" applyBorder="1" applyAlignment="1">
      <alignment horizontal="left" vertical="center" wrapText="1"/>
    </xf>
    <xf numFmtId="0" fontId="30" fillId="0" borderId="0" xfId="0" applyFont="1" applyAlignment="1">
      <alignment horizontal="center"/>
    </xf>
    <xf numFmtId="0" fontId="0" fillId="0" borderId="10" xfId="0" quotePrefix="1" applyBorder="1" applyAlignment="1">
      <alignment horizontal="center" vertical="center" wrapText="1"/>
    </xf>
    <xf numFmtId="0" fontId="0" fillId="0" borderId="10" xfId="0" applyBorder="1" applyAlignment="1">
      <alignment horizontal="center" wrapText="1"/>
    </xf>
    <xf numFmtId="0" fontId="0" fillId="0" borderId="0" xfId="0" applyAlignment="1">
      <alignment horizontal="left" vertical="center" wrapText="1"/>
    </xf>
    <xf numFmtId="0" fontId="22" fillId="0" borderId="0" xfId="0" applyFont="1" applyAlignment="1">
      <alignment horizontal="left" vertical="center" wrapText="1"/>
    </xf>
    <xf numFmtId="0" fontId="0" fillId="43" borderId="0" xfId="0" applyFill="1" applyAlignment="1">
      <alignment horizontal="left" vertical="center" wrapText="1"/>
    </xf>
    <xf numFmtId="0" fontId="15" fillId="44" borderId="10" xfId="0" applyFont="1" applyFill="1" applyBorder="1" applyAlignment="1">
      <alignment horizontal="center" vertical="center"/>
    </xf>
    <xf numFmtId="0" fontId="0" fillId="43" borderId="10" xfId="0" applyFill="1" applyBorder="1" applyAlignment="1">
      <alignment horizontal="center" vertical="center"/>
    </xf>
    <xf numFmtId="0" fontId="0" fillId="43" borderId="14" xfId="0" applyFill="1" applyBorder="1" applyAlignment="1">
      <alignment horizontal="center" vertical="center" wrapText="1"/>
    </xf>
    <xf numFmtId="0" fontId="0" fillId="43" borderId="20" xfId="0" applyFill="1" applyBorder="1" applyAlignment="1">
      <alignment horizontal="center" vertical="center" wrapText="1"/>
    </xf>
    <xf numFmtId="165" fontId="21" fillId="0" borderId="10" xfId="0" applyNumberFormat="1" applyFont="1" applyBorder="1" applyAlignment="1">
      <alignment horizontal="center" vertical="center" wrapText="1"/>
    </xf>
    <xf numFmtId="165" fontId="21" fillId="0" borderId="10" xfId="0" applyNumberFormat="1" applyFont="1" applyBorder="1" applyAlignment="1">
      <alignment horizontal="center" vertical="center"/>
    </xf>
    <xf numFmtId="165" fontId="15" fillId="41" borderId="10" xfId="0" applyNumberFormat="1" applyFont="1" applyFill="1" applyBorder="1" applyAlignment="1">
      <alignment horizontal="center" vertical="center"/>
    </xf>
    <xf numFmtId="0" fontId="21" fillId="43" borderId="14" xfId="0" applyFont="1" applyFill="1" applyBorder="1" applyAlignment="1">
      <alignment horizontal="center" vertical="center" wrapText="1"/>
    </xf>
    <xf numFmtId="0" fontId="21" fillId="43" borderId="20" xfId="0" applyFont="1" applyFill="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43" borderId="31" xfId="0" applyFont="1" applyFill="1" applyBorder="1" applyAlignment="1">
      <alignment horizontal="center" vertical="center" wrapText="1"/>
    </xf>
    <xf numFmtId="0" fontId="39" fillId="39" borderId="0" xfId="0" applyFont="1" applyFill="1" applyAlignment="1">
      <alignment horizontal="left"/>
    </xf>
    <xf numFmtId="0" fontId="40" fillId="39" borderId="0" xfId="0" applyFont="1" applyFill="1" applyAlignment="1">
      <alignment horizontal="left"/>
    </xf>
    <xf numFmtId="0" fontId="48" fillId="39" borderId="13" xfId="0" applyFont="1" applyFill="1" applyBorder="1" applyAlignment="1">
      <alignment wrapText="1"/>
    </xf>
    <xf numFmtId="0" fontId="40" fillId="39" borderId="0" xfId="0" applyFont="1" applyFill="1" applyAlignment="1"/>
    <xf numFmtId="170" fontId="48" fillId="0" borderId="14" xfId="155" applyNumberFormat="1" applyFont="1" applyBorder="1" applyAlignment="1">
      <alignment horizontal="center" vertical="center"/>
    </xf>
    <xf numFmtId="170" fontId="48" fillId="0" borderId="20" xfId="155" applyNumberFormat="1" applyFont="1" applyBorder="1" applyAlignment="1">
      <alignment horizontal="center" vertical="center"/>
    </xf>
    <xf numFmtId="170" fontId="48" fillId="0" borderId="10" xfId="155" applyNumberFormat="1" applyFont="1" applyBorder="1" applyAlignment="1">
      <alignment horizontal="center" vertical="center"/>
    </xf>
    <xf numFmtId="0" fontId="0" fillId="44" borderId="12" xfId="0" applyFill="1" applyBorder="1" applyAlignment="1">
      <alignment horizontal="center"/>
    </xf>
    <xf numFmtId="0" fontId="0" fillId="67" borderId="12" xfId="0" applyFill="1" applyBorder="1" applyAlignment="1">
      <alignment horizontal="center"/>
    </xf>
    <xf numFmtId="0" fontId="0" fillId="69" borderId="12" xfId="0" applyFill="1" applyBorder="1" applyAlignment="1">
      <alignment horizontal="center"/>
    </xf>
    <xf numFmtId="0" fontId="0" fillId="68" borderId="12" xfId="0" applyFill="1" applyBorder="1" applyAlignment="1">
      <alignment horizontal="center"/>
    </xf>
    <xf numFmtId="0" fontId="0" fillId="45" borderId="12" xfId="0" applyFill="1" applyBorder="1" applyAlignment="1">
      <alignment horizontal="center"/>
    </xf>
    <xf numFmtId="0" fontId="0" fillId="44" borderId="0" xfId="0" applyFill="1" applyAlignment="1">
      <alignment horizontal="center"/>
    </xf>
    <xf numFmtId="0" fontId="0" fillId="66" borderId="15" xfId="0" applyFill="1" applyBorder="1" applyAlignment="1">
      <alignment horizontal="center"/>
    </xf>
    <xf numFmtId="0" fontId="0" fillId="66" borderId="16" xfId="0" applyFill="1" applyBorder="1" applyAlignment="1">
      <alignment horizontal="center"/>
    </xf>
    <xf numFmtId="168" fontId="47" fillId="76" borderId="15" xfId="0" applyNumberFormat="1" applyFont="1" applyFill="1" applyBorder="1" applyAlignment="1">
      <alignment horizontal="center"/>
    </xf>
    <xf numFmtId="168" fontId="47" fillId="76" borderId="16" xfId="0" applyNumberFormat="1" applyFont="1" applyFill="1" applyBorder="1" applyAlignment="1">
      <alignment horizontal="center"/>
    </xf>
    <xf numFmtId="168" fontId="47" fillId="76" borderId="17" xfId="0" applyNumberFormat="1" applyFont="1" applyFill="1" applyBorder="1" applyAlignment="1">
      <alignment horizontal="center"/>
    </xf>
    <xf numFmtId="171" fontId="48" fillId="0" borderId="15" xfId="0" applyNumberFormat="1" applyFont="1" applyBorder="1" applyAlignment="1">
      <alignment horizontal="center" vertical="center"/>
    </xf>
    <xf numFmtId="171" fontId="48" fillId="0" borderId="16" xfId="0" applyNumberFormat="1" applyFont="1" applyBorder="1" applyAlignment="1">
      <alignment horizontal="center" vertical="center"/>
    </xf>
    <xf numFmtId="171" fontId="48" fillId="0" borderId="17" xfId="0" applyNumberFormat="1" applyFont="1" applyBorder="1" applyAlignment="1">
      <alignment horizontal="center" vertical="center"/>
    </xf>
    <xf numFmtId="171" fontId="61" fillId="0" borderId="15" xfId="0" applyNumberFormat="1" applyFont="1" applyBorder="1" applyAlignment="1">
      <alignment horizontal="center" vertical="center"/>
    </xf>
    <xf numFmtId="171" fontId="61" fillId="0" borderId="16" xfId="0" applyNumberFormat="1" applyFont="1" applyBorder="1" applyAlignment="1">
      <alignment horizontal="center" vertical="center"/>
    </xf>
    <xf numFmtId="171" fontId="61" fillId="0" borderId="17" xfId="0" applyNumberFormat="1" applyFont="1" applyBorder="1" applyAlignment="1">
      <alignment horizontal="center" vertical="center"/>
    </xf>
  </cellXfs>
  <cellStyles count="162">
    <cellStyle name="20 % - Accent1" xfId="17" builtinId="30" customBuiltin="1"/>
    <cellStyle name="20 % - Accent1 2" xfId="84"/>
    <cellStyle name="20 % - Accent1 2 2" xfId="132"/>
    <cellStyle name="20 % - Accent1 3" xfId="111"/>
    <cellStyle name="20 % - Accent2" xfId="21" builtinId="34" customBuiltin="1"/>
    <cellStyle name="20 % - Accent2 2" xfId="86"/>
    <cellStyle name="20 % - Accent2 2 2" xfId="134"/>
    <cellStyle name="20 % - Accent2 3" xfId="113"/>
    <cellStyle name="20 % - Accent3" xfId="25" builtinId="38" customBuiltin="1"/>
    <cellStyle name="20 % - Accent3 2" xfId="88"/>
    <cellStyle name="20 % - Accent3 2 2" xfId="136"/>
    <cellStyle name="20 % - Accent3 3" xfId="115"/>
    <cellStyle name="20 % - Accent4" xfId="29" builtinId="42" customBuiltin="1"/>
    <cellStyle name="20 % - Accent4 2" xfId="90"/>
    <cellStyle name="20 % - Accent4 2 2" xfId="138"/>
    <cellStyle name="20 % - Accent4 3" xfId="117"/>
    <cellStyle name="20 % - Accent5" xfId="33" builtinId="46" customBuiltin="1"/>
    <cellStyle name="20 % - Accent5 2" xfId="92"/>
    <cellStyle name="20 % - Accent5 2 2" xfId="140"/>
    <cellStyle name="20 % - Accent5 3" xfId="119"/>
    <cellStyle name="20 % - Accent6" xfId="37" builtinId="50" customBuiltin="1"/>
    <cellStyle name="20 % - Accent6 2" xfId="94"/>
    <cellStyle name="20 % - Accent6 2 2" xfId="142"/>
    <cellStyle name="20 % - Accent6 3" xfId="121"/>
    <cellStyle name="40 % - Accent1" xfId="18" builtinId="31" customBuiltin="1"/>
    <cellStyle name="40 % - Accent1 2" xfId="85"/>
    <cellStyle name="40 % - Accent1 2 2" xfId="133"/>
    <cellStyle name="40 % - Accent1 3" xfId="112"/>
    <cellStyle name="40 % - Accent2" xfId="22" builtinId="35" customBuiltin="1"/>
    <cellStyle name="40 % - Accent2 2" xfId="87"/>
    <cellStyle name="40 % - Accent2 2 2" xfId="135"/>
    <cellStyle name="40 % - Accent2 3" xfId="114"/>
    <cellStyle name="40 % - Accent3" xfId="26" builtinId="39" customBuiltin="1"/>
    <cellStyle name="40 % - Accent3 2" xfId="89"/>
    <cellStyle name="40 % - Accent3 2 2" xfId="137"/>
    <cellStyle name="40 % - Accent3 3" xfId="116"/>
    <cellStyle name="40 % - Accent4" xfId="30" builtinId="43" customBuiltin="1"/>
    <cellStyle name="40 % - Accent4 2" xfId="91"/>
    <cellStyle name="40 % - Accent4 2 2" xfId="139"/>
    <cellStyle name="40 % - Accent4 3" xfId="118"/>
    <cellStyle name="40 % - Accent5" xfId="34" builtinId="47" customBuiltin="1"/>
    <cellStyle name="40 % - Accent5 2" xfId="93"/>
    <cellStyle name="40 % - Accent5 2 2" xfId="141"/>
    <cellStyle name="40 % - Accent5 3" xfId="120"/>
    <cellStyle name="40 % - Accent6" xfId="38" builtinId="51" customBuiltin="1"/>
    <cellStyle name="40 % - Accent6 2" xfId="95"/>
    <cellStyle name="40 % - Accent6 2 2" xfId="143"/>
    <cellStyle name="40 % - Accent6 3" xfId="122"/>
    <cellStyle name="60 % - Accent1" xfId="19" builtinId="32" customBuiltin="1"/>
    <cellStyle name="60 % - Accent2" xfId="23" builtinId="36" customBuiltin="1"/>
    <cellStyle name="60 % - Accent3" xfId="27" builtinId="40" customBuiltin="1"/>
    <cellStyle name="60 % - Accent4" xfId="31" builtinId="44" customBuiltin="1"/>
    <cellStyle name="60 % - Accent5" xfId="35" builtinId="48" customBuiltin="1"/>
    <cellStyle name="60 %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Avertissement" xfId="13" builtinId="11" customBuiltin="1"/>
    <cellStyle name="Bilan GES" xfId="46"/>
    <cellStyle name="Bilan GES 2" xfId="61"/>
    <cellStyle name="Bilan GES 2 2" xfId="77"/>
    <cellStyle name="Bilan GES 2 2 2" xfId="104"/>
    <cellStyle name="Calcul" xfId="10" builtinId="22" customBuiltin="1"/>
    <cellStyle name="Cellule liée" xfId="11" builtinId="24" customBuiltin="1"/>
    <cellStyle name="Commentaire 2" xfId="68"/>
    <cellStyle name="Commentaire 2 2" xfId="98"/>
    <cellStyle name="Commentaire 2 2 2" xfId="146"/>
    <cellStyle name="Commentaire 2 3" xfId="125"/>
    <cellStyle name="Entrée" xfId="8" builtinId="20" customBuiltin="1"/>
    <cellStyle name="Insatisfaisant" xfId="6" builtinId="27" customBuiltin="1"/>
    <cellStyle name="Lien hypertexte 2" xfId="151"/>
    <cellStyle name="Migliaia" xfId="157"/>
    <cellStyle name="Milliers" xfId="153" builtinId="3"/>
    <cellStyle name="Milliers 2" xfId="52"/>
    <cellStyle name="Milliers 2 2" xfId="158"/>
    <cellStyle name="Milliers 3" xfId="56"/>
    <cellStyle name="Milliers 3 2" xfId="155"/>
    <cellStyle name="Milliers 4" xfId="69"/>
    <cellStyle name="Milliers 5" xfId="41"/>
    <cellStyle name="Neutre" xfId="7" builtinId="28" customBuiltin="1"/>
    <cellStyle name="Normal" xfId="0" builtinId="0"/>
    <cellStyle name="Normal 10" xfId="40"/>
    <cellStyle name="Normal 11" xfId="156"/>
    <cellStyle name="Normal 2" xfId="49"/>
    <cellStyle name="Normal 2 2" xfId="154"/>
    <cellStyle name="Normal 3" xfId="51"/>
    <cellStyle name="Normal 32" xfId="160"/>
    <cellStyle name="Normal 4" xfId="50"/>
    <cellStyle name="Normal 4 2" xfId="64"/>
    <cellStyle name="Normal 4 2 2" xfId="80"/>
    <cellStyle name="Normal 4 2 2 2" xfId="107"/>
    <cellStyle name="Normal 4 2 2 2 2" xfId="149"/>
    <cellStyle name="Normal 4 2 2 3" xfId="128"/>
    <cellStyle name="Normal 4 2 3" xfId="83"/>
    <cellStyle name="Normal 4 2 3 2" xfId="131"/>
    <cellStyle name="Normal 4 2 4" xfId="110"/>
    <cellStyle name="Normal 4 3" xfId="70"/>
    <cellStyle name="Normal 4 3 2" xfId="99"/>
    <cellStyle name="Normal 4 3 2 2" xfId="147"/>
    <cellStyle name="Normal 4 3 3" xfId="126"/>
    <cellStyle name="Normal 4 4" xfId="81"/>
    <cellStyle name="Normal 4 4 2" xfId="129"/>
    <cellStyle name="Normal 4 5" xfId="108"/>
    <cellStyle name="Normal 5" xfId="55"/>
    <cellStyle name="Normal 6" xfId="54"/>
    <cellStyle name="Normal 6 2" xfId="73"/>
    <cellStyle name="Normal 6 2 2" xfId="100"/>
    <cellStyle name="Normal 6 2 2 2" xfId="148"/>
    <cellStyle name="Normal 6 2 3" xfId="127"/>
    <cellStyle name="Normal 6 3" xfId="82"/>
    <cellStyle name="Normal 6 3 2" xfId="130"/>
    <cellStyle name="Normal 6 4" xfId="109"/>
    <cellStyle name="Normal 7" xfId="71"/>
    <cellStyle name="Normal 8" xfId="66"/>
    <cellStyle name="Normal 8 2" xfId="96"/>
    <cellStyle name="Normal 8 2 2" xfId="144"/>
    <cellStyle name="Normal 8 3" xfId="123"/>
    <cellStyle name="Normal 9" xfId="150"/>
    <cellStyle name="Note 1" xfId="159"/>
    <cellStyle name="Onglet" xfId="43"/>
    <cellStyle name="Onglet 2" xfId="58"/>
    <cellStyle name="Onglet 2 2" xfId="74"/>
    <cellStyle name="Onglet 2 2 2" xfId="101"/>
    <cellStyle name="Poste" xfId="48"/>
    <cellStyle name="Poste 2" xfId="63"/>
    <cellStyle name="Poste 2 2" xfId="79"/>
    <cellStyle name="Poste 2 2 2" xfId="106"/>
    <cellStyle name="Poste Ce" xfId="47"/>
    <cellStyle name="Poste Ce 2" xfId="62"/>
    <cellStyle name="Poste Ce 2 2" xfId="78"/>
    <cellStyle name="Poste Ce 2 2 2" xfId="105"/>
    <cellStyle name="Poste CO2e" xfId="44"/>
    <cellStyle name="Poste CO2e 2" xfId="59"/>
    <cellStyle name="Poste CO2e 2 2" xfId="75"/>
    <cellStyle name="Poste CO2e 2 2 2" xfId="102"/>
    <cellStyle name="Pourcentage" xfId="152" builtinId="5"/>
    <cellStyle name="Pourcentage 2" xfId="53"/>
    <cellStyle name="Pourcentage 3" xfId="57"/>
    <cellStyle name="Pourcentage 4" xfId="72"/>
    <cellStyle name="Pourcentage 5" xfId="67"/>
    <cellStyle name="Pourcentage 5 2" xfId="97"/>
    <cellStyle name="Pourcentage 5 2 2" xfId="145"/>
    <cellStyle name="Pourcentage 5 3" xfId="124"/>
    <cellStyle name="Pourcentage 6" xfId="42"/>
    <cellStyle name="Pourcentage 8" xfId="161"/>
    <cellStyle name="Satisfaisant" xfId="5" builtinId="26" customBuiltin="1"/>
    <cellStyle name="Sortie" xfId="9" builtinId="21" customBuiltin="1"/>
    <cellStyle name="Sous-poste" xfId="45"/>
    <cellStyle name="Sous-poste 2" xfId="60"/>
    <cellStyle name="Sous-poste 2 2" xfId="76"/>
    <cellStyle name="Sous-poste 2 2 2" xfId="103"/>
    <cellStyle name="Texte explicatif" xfId="14" builtinId="53" customBuiltin="1"/>
    <cellStyle name="Titre 2" xfId="65"/>
    <cellStyle name="Titre 1" xfId="1" builtinId="16" customBuiltin="1"/>
    <cellStyle name="Titre 2" xfId="2" builtinId="17" customBuiltin="1"/>
    <cellStyle name="Titre 3" xfId="3" builtinId="18" customBuiltin="1"/>
    <cellStyle name="Titre 4" xfId="4" builtinId="19" customBuiltin="1"/>
    <cellStyle name="Total" xfId="15" builtinId="25" customBuiltin="1"/>
    <cellStyle name="Vérification" xfId="12" builtinId="23" customBuiltin="1"/>
  </cellStyles>
  <dxfs count="9">
    <dxf>
      <fill>
        <patternFill>
          <fgColor indexed="64"/>
          <bgColor theme="0"/>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ill>
        <patternFill>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alignment textRotation="0" wrapText="1" indent="0" justifyLastLine="0" shrinkToFit="0" readingOrder="0"/>
    </dxf>
    <dxf>
      <border>
        <bottom style="thin">
          <color indexed="64"/>
        </bottom>
      </border>
    </dxf>
    <dxf>
      <font>
        <b/>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tableStyles>
  <colors>
    <mruColors>
      <color rgb="FFB873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5</xdr:col>
      <xdr:colOff>892969</xdr:colOff>
      <xdr:row>85</xdr:row>
      <xdr:rowOff>202406</xdr:rowOff>
    </xdr:from>
    <xdr:to>
      <xdr:col>15</xdr:col>
      <xdr:colOff>476251</xdr:colOff>
      <xdr:row>101</xdr:row>
      <xdr:rowOff>35717</xdr:rowOff>
    </xdr:to>
    <xdr:pic>
      <xdr:nvPicPr>
        <xdr:cNvPr id="2" name="Imag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7469" y="26824781"/>
          <a:ext cx="10596563" cy="7429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555169</xdr:colOff>
      <xdr:row>82</xdr:row>
      <xdr:rowOff>65314</xdr:rowOff>
    </xdr:from>
    <xdr:to>
      <xdr:col>14</xdr:col>
      <xdr:colOff>511627</xdr:colOff>
      <xdr:row>93</xdr:row>
      <xdr:rowOff>43542</xdr:rowOff>
    </xdr:to>
    <xdr:pic>
      <xdr:nvPicPr>
        <xdr:cNvPr id="3" name="Imag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56369" y="22783800"/>
          <a:ext cx="9633858" cy="5889171"/>
        </a:xfrm>
        <a:prstGeom prst="rect">
          <a:avLst/>
        </a:prstGeom>
        <a:noFill/>
      </xdr:spPr>
    </xdr:pic>
    <xdr:clientData/>
  </xdr:twoCellAnchor>
  <xdr:twoCellAnchor editAs="oneCell">
    <xdr:from>
      <xdr:col>5</xdr:col>
      <xdr:colOff>1709057</xdr:colOff>
      <xdr:row>93</xdr:row>
      <xdr:rowOff>217714</xdr:rowOff>
    </xdr:from>
    <xdr:to>
      <xdr:col>13</xdr:col>
      <xdr:colOff>424543</xdr:colOff>
      <xdr:row>103</xdr:row>
      <xdr:rowOff>199143</xdr:rowOff>
    </xdr:to>
    <xdr:pic>
      <xdr:nvPicPr>
        <xdr:cNvPr id="5" name="Image 4">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10257" y="28847143"/>
          <a:ext cx="7598229" cy="4190998"/>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348342</xdr:colOff>
      <xdr:row>57</xdr:row>
      <xdr:rowOff>152398</xdr:rowOff>
    </xdr:from>
    <xdr:to>
      <xdr:col>11</xdr:col>
      <xdr:colOff>511627</xdr:colOff>
      <xdr:row>67</xdr:row>
      <xdr:rowOff>76200</xdr:rowOff>
    </xdr:to>
    <xdr:pic>
      <xdr:nvPicPr>
        <xdr:cNvPr id="3" name="Imag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a:stretch>
          <a:fillRect/>
        </a:stretch>
      </xdr:blipFill>
      <xdr:spPr>
        <a:xfrm>
          <a:off x="9590313" y="15283541"/>
          <a:ext cx="8196943" cy="52469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1600199</xdr:colOff>
      <xdr:row>68</xdr:row>
      <xdr:rowOff>279400</xdr:rowOff>
    </xdr:from>
    <xdr:to>
      <xdr:col>17</xdr:col>
      <xdr:colOff>755214</xdr:colOff>
      <xdr:row>87</xdr:row>
      <xdr:rowOff>19891</xdr:rowOff>
    </xdr:to>
    <xdr:pic>
      <xdr:nvPicPr>
        <xdr:cNvPr id="6" name="Image 5"/>
        <xdr:cNvPicPr>
          <a:picLocks noChangeAspect="1"/>
        </xdr:cNvPicPr>
      </xdr:nvPicPr>
      <xdr:blipFill>
        <a:blip xmlns:r="http://schemas.openxmlformats.org/officeDocument/2006/relationships" r:embed="rId1"/>
        <a:stretch>
          <a:fillRect/>
        </a:stretch>
      </xdr:blipFill>
      <xdr:spPr>
        <a:xfrm>
          <a:off x="11112499" y="21221700"/>
          <a:ext cx="10712015" cy="82748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839699</xdr:colOff>
      <xdr:row>27</xdr:row>
      <xdr:rowOff>152400</xdr:rowOff>
    </xdr:from>
    <xdr:to>
      <xdr:col>13</xdr:col>
      <xdr:colOff>489856</xdr:colOff>
      <xdr:row>42</xdr:row>
      <xdr:rowOff>96200</xdr:rowOff>
    </xdr:to>
    <xdr:pic>
      <xdr:nvPicPr>
        <xdr:cNvPr id="2" name="Image 1"/>
        <xdr:cNvPicPr>
          <a:picLocks noChangeAspect="1"/>
        </xdr:cNvPicPr>
      </xdr:nvPicPr>
      <xdr:blipFill>
        <a:blip xmlns:r="http://schemas.openxmlformats.org/officeDocument/2006/relationships" r:embed="rId1"/>
        <a:stretch>
          <a:fillRect/>
        </a:stretch>
      </xdr:blipFill>
      <xdr:spPr>
        <a:xfrm>
          <a:off x="10440899" y="7990114"/>
          <a:ext cx="8565557" cy="5898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729343</xdr:colOff>
      <xdr:row>59</xdr:row>
      <xdr:rowOff>119744</xdr:rowOff>
    </xdr:from>
    <xdr:to>
      <xdr:col>11</xdr:col>
      <xdr:colOff>653143</xdr:colOff>
      <xdr:row>76</xdr:row>
      <xdr:rowOff>250372</xdr:rowOff>
    </xdr:to>
    <xdr:pic>
      <xdr:nvPicPr>
        <xdr:cNvPr id="2" name="Imag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tretch>
          <a:fillRect/>
        </a:stretch>
      </xdr:blipFill>
      <xdr:spPr>
        <a:xfrm>
          <a:off x="12094029" y="19311258"/>
          <a:ext cx="7663543" cy="63790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555171</xdr:colOff>
      <xdr:row>35</xdr:row>
      <xdr:rowOff>9252</xdr:rowOff>
    </xdr:from>
    <xdr:to>
      <xdr:col>10</xdr:col>
      <xdr:colOff>457201</xdr:colOff>
      <xdr:row>58</xdr:row>
      <xdr:rowOff>70487</xdr:rowOff>
    </xdr:to>
    <xdr:pic>
      <xdr:nvPicPr>
        <xdr:cNvPr id="7" name="Image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a:stretch>
          <a:fillRect/>
        </a:stretch>
      </xdr:blipFill>
      <xdr:spPr>
        <a:xfrm>
          <a:off x="10428514" y="12125052"/>
          <a:ext cx="8153401" cy="6233435"/>
        </a:xfrm>
        <a:prstGeom prst="rect">
          <a:avLst/>
        </a:prstGeom>
      </xdr:spPr>
    </xdr:pic>
    <xdr:clientData/>
  </xdr:twoCellAnchor>
  <xdr:twoCellAnchor editAs="oneCell">
    <xdr:from>
      <xdr:col>5</xdr:col>
      <xdr:colOff>460138</xdr:colOff>
      <xdr:row>61</xdr:row>
      <xdr:rowOff>59484</xdr:rowOff>
    </xdr:from>
    <xdr:to>
      <xdr:col>10</xdr:col>
      <xdr:colOff>657497</xdr:colOff>
      <xdr:row>88</xdr:row>
      <xdr:rowOff>35160</xdr:rowOff>
    </xdr:to>
    <xdr:pic>
      <xdr:nvPicPr>
        <xdr:cNvPr id="8" name="Image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2"/>
        <a:stretch>
          <a:fillRect/>
        </a:stretch>
      </xdr:blipFill>
      <xdr:spPr>
        <a:xfrm>
          <a:off x="10335658" y="18812304"/>
          <a:ext cx="8442199" cy="4913436"/>
        </a:xfrm>
        <a:prstGeom prst="rect">
          <a:avLst/>
        </a:prstGeom>
      </xdr:spPr>
    </xdr:pic>
    <xdr:clientData/>
  </xdr:twoCellAnchor>
</xdr:wsDr>
</file>

<file path=xl/tables/table1.xml><?xml version="1.0" encoding="utf-8"?>
<table xmlns="http://schemas.openxmlformats.org/spreadsheetml/2006/main" id="2" name="Tableau4711" displayName="Tableau4711" ref="B2:E87" totalsRowShown="0" headerRowDxfId="8" dataDxfId="6" headerRowBorderDxfId="7" tableBorderDxfId="5" totalsRowBorderDxfId="4">
  <autoFilter ref="B2:E87"/>
  <tableColumns count="4">
    <tableColumn id="1" name="Catégorie d’entreprise" dataDxfId="3"/>
    <tableColumn id="2" name="Indications de postes potentiellement significatifs " dataDxfId="2"/>
    <tableColumn id="3" name="Trajectoires SNBC correspondantes" dataDxfId="1"/>
    <tableColumn id="4" name="Objectif de baisse SNBC  2030 par rapport à 2019"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7"/>
  <sheetViews>
    <sheetView tabSelected="1" topLeftCell="A13" workbookViewId="0">
      <selection activeCell="G14" sqref="G14"/>
    </sheetView>
  </sheetViews>
  <sheetFormatPr baseColWidth="10" defaultColWidth="11.5546875" defaultRowHeight="14.4"/>
  <cols>
    <col min="1" max="1" width="11.5546875" style="1"/>
    <col min="2" max="2" width="23.33203125" style="1" customWidth="1"/>
    <col min="3" max="5" width="11.5546875" style="1"/>
    <col min="6" max="6" width="87.5546875" style="1" customWidth="1"/>
    <col min="7" max="16384" width="11.5546875" style="1"/>
  </cols>
  <sheetData>
    <row r="1" spans="1:21">
      <c r="A1" s="205"/>
      <c r="B1" s="205"/>
      <c r="C1" s="205"/>
      <c r="D1" s="205"/>
      <c r="E1" s="205"/>
      <c r="F1" s="205"/>
      <c r="G1" s="205"/>
      <c r="H1" s="205"/>
      <c r="I1" s="205"/>
      <c r="J1" s="180"/>
      <c r="K1" s="180"/>
      <c r="L1" s="180"/>
      <c r="M1" s="180"/>
      <c r="N1" s="180"/>
      <c r="O1" s="180"/>
      <c r="P1" s="180"/>
      <c r="Q1" s="180"/>
      <c r="R1" s="180"/>
      <c r="S1" s="180"/>
      <c r="T1" s="180"/>
      <c r="U1" s="180"/>
    </row>
    <row r="2" spans="1:21">
      <c r="A2" s="205"/>
      <c r="B2" s="205"/>
      <c r="C2" s="205"/>
      <c r="D2" s="205"/>
      <c r="E2" s="205"/>
      <c r="F2" s="205"/>
      <c r="G2" s="205"/>
      <c r="H2" s="205"/>
      <c r="I2" s="205"/>
      <c r="J2" s="180"/>
      <c r="K2" s="180"/>
      <c r="L2" s="180"/>
      <c r="M2" s="180"/>
      <c r="N2" s="180"/>
      <c r="O2" s="180"/>
      <c r="P2" s="180"/>
      <c r="Q2" s="180"/>
      <c r="R2" s="180"/>
      <c r="S2" s="180"/>
      <c r="T2" s="180"/>
      <c r="U2" s="180"/>
    </row>
    <row r="3" spans="1:21" ht="48.6" customHeight="1">
      <c r="A3" s="205"/>
      <c r="B3" s="365" t="s">
        <v>484</v>
      </c>
      <c r="C3" s="365"/>
      <c r="D3" s="365"/>
      <c r="E3" s="365"/>
      <c r="F3" s="365"/>
      <c r="G3" s="205"/>
      <c r="H3" s="205"/>
      <c r="I3" s="205"/>
      <c r="J3" s="180"/>
      <c r="K3" s="180"/>
      <c r="L3" s="180"/>
      <c r="M3" s="180"/>
      <c r="N3" s="180"/>
      <c r="O3" s="180"/>
      <c r="P3" s="180"/>
      <c r="Q3" s="180"/>
      <c r="R3" s="180"/>
      <c r="S3" s="180"/>
      <c r="T3" s="180"/>
      <c r="U3" s="180"/>
    </row>
    <row r="4" spans="1:21">
      <c r="A4" s="205"/>
      <c r="B4" s="205"/>
      <c r="C4" s="205"/>
      <c r="D4" s="205"/>
      <c r="E4" s="205"/>
      <c r="F4" s="205"/>
      <c r="G4" s="205"/>
      <c r="H4" s="205"/>
      <c r="I4" s="205"/>
      <c r="J4" s="180"/>
      <c r="K4" s="180"/>
      <c r="L4" s="180"/>
      <c r="M4" s="180"/>
      <c r="N4" s="180"/>
      <c r="O4" s="180"/>
      <c r="P4" s="180"/>
      <c r="Q4" s="180"/>
      <c r="R4" s="180"/>
      <c r="S4" s="180"/>
      <c r="T4" s="180"/>
      <c r="U4" s="180"/>
    </row>
    <row r="5" spans="1:21">
      <c r="A5" s="205"/>
      <c r="B5" s="205"/>
      <c r="C5" s="205"/>
      <c r="D5" s="205"/>
      <c r="E5" s="205"/>
      <c r="F5" s="205"/>
      <c r="G5" s="205"/>
      <c r="H5" s="205"/>
      <c r="I5" s="205"/>
      <c r="J5" s="180"/>
      <c r="K5" s="180"/>
      <c r="L5" s="180"/>
      <c r="M5" s="180"/>
      <c r="N5" s="180"/>
      <c r="O5" s="180"/>
      <c r="P5" s="180"/>
      <c r="Q5" s="180"/>
      <c r="R5" s="180"/>
      <c r="S5" s="180"/>
      <c r="T5" s="180"/>
      <c r="U5" s="180"/>
    </row>
    <row r="6" spans="1:21">
      <c r="A6" s="205"/>
      <c r="B6" s="205"/>
      <c r="C6" s="205"/>
      <c r="D6" s="205"/>
      <c r="E6" s="205"/>
      <c r="F6" s="205"/>
      <c r="G6" s="205"/>
      <c r="H6" s="205"/>
      <c r="I6" s="205"/>
      <c r="J6" s="180"/>
      <c r="K6" s="180"/>
      <c r="L6" s="180"/>
      <c r="M6" s="180"/>
      <c r="N6" s="180"/>
      <c r="O6" s="180"/>
      <c r="P6" s="180"/>
      <c r="Q6" s="180"/>
      <c r="R6" s="180"/>
      <c r="S6" s="180"/>
      <c r="T6" s="180"/>
      <c r="U6" s="180"/>
    </row>
    <row r="7" spans="1:21" ht="40.950000000000003" customHeight="1">
      <c r="A7" s="205"/>
      <c r="B7" s="366" t="s">
        <v>0</v>
      </c>
      <c r="C7" s="366"/>
      <c r="D7" s="366"/>
      <c r="E7" s="366"/>
      <c r="F7" s="366"/>
      <c r="G7" s="205"/>
      <c r="H7" s="205"/>
      <c r="I7" s="205"/>
      <c r="J7" s="180"/>
      <c r="K7" s="180"/>
      <c r="L7" s="180"/>
      <c r="M7" s="180"/>
      <c r="N7" s="180"/>
      <c r="O7" s="180"/>
      <c r="P7" s="180"/>
      <c r="Q7" s="180"/>
      <c r="R7" s="180"/>
      <c r="S7" s="180"/>
      <c r="T7" s="180"/>
      <c r="U7" s="180"/>
    </row>
    <row r="8" spans="1:21">
      <c r="A8" s="205"/>
      <c r="B8" s="205"/>
      <c r="C8" s="205"/>
      <c r="D8" s="205"/>
      <c r="E8" s="205"/>
      <c r="F8" s="205"/>
      <c r="G8" s="205"/>
      <c r="H8" s="205"/>
      <c r="I8" s="205"/>
      <c r="J8" s="180"/>
      <c r="K8" s="180"/>
      <c r="L8" s="180"/>
      <c r="M8" s="180"/>
      <c r="N8" s="180"/>
      <c r="O8" s="180"/>
      <c r="P8" s="180"/>
      <c r="Q8" s="180"/>
      <c r="R8" s="180"/>
      <c r="S8" s="180"/>
      <c r="T8" s="180"/>
      <c r="U8" s="180"/>
    </row>
    <row r="9" spans="1:21" ht="129.6" customHeight="1">
      <c r="A9" s="205"/>
      <c r="B9" s="206" t="s">
        <v>1</v>
      </c>
      <c r="C9" s="363" t="s">
        <v>2</v>
      </c>
      <c r="D9" s="363"/>
      <c r="E9" s="363"/>
      <c r="F9" s="363"/>
      <c r="G9" s="205"/>
      <c r="H9" s="205"/>
      <c r="I9" s="205"/>
      <c r="J9" s="180"/>
      <c r="K9" s="180"/>
      <c r="L9" s="180"/>
      <c r="M9" s="180"/>
      <c r="N9" s="180"/>
      <c r="O9" s="180"/>
      <c r="P9" s="180"/>
      <c r="Q9" s="180"/>
      <c r="R9" s="180"/>
      <c r="S9" s="180"/>
      <c r="T9" s="180"/>
      <c r="U9" s="180"/>
    </row>
    <row r="10" spans="1:21" ht="126" customHeight="1">
      <c r="A10" s="205"/>
      <c r="B10" s="206" t="s">
        <v>3</v>
      </c>
      <c r="C10" s="363" t="s">
        <v>4</v>
      </c>
      <c r="D10" s="363"/>
      <c r="E10" s="363"/>
      <c r="F10" s="363"/>
      <c r="G10" s="205"/>
      <c r="H10" s="205"/>
      <c r="I10" s="205"/>
      <c r="J10" s="180"/>
      <c r="K10" s="180"/>
      <c r="L10" s="180"/>
      <c r="M10" s="180"/>
      <c r="N10" s="180"/>
      <c r="O10" s="180"/>
      <c r="P10" s="180"/>
      <c r="Q10" s="180"/>
      <c r="R10" s="180"/>
      <c r="S10" s="180"/>
      <c r="T10" s="180"/>
      <c r="U10" s="180"/>
    </row>
    <row r="11" spans="1:21" ht="67.95" customHeight="1">
      <c r="A11" s="205"/>
      <c r="B11" s="206" t="s">
        <v>5</v>
      </c>
      <c r="C11" s="363" t="s">
        <v>6</v>
      </c>
      <c r="D11" s="363"/>
      <c r="E11" s="363"/>
      <c r="F11" s="363"/>
      <c r="G11" s="205"/>
      <c r="H11" s="205"/>
      <c r="I11" s="205"/>
      <c r="J11" s="180"/>
      <c r="K11" s="180"/>
      <c r="L11" s="180"/>
      <c r="M11" s="180"/>
      <c r="N11" s="180"/>
      <c r="O11" s="180"/>
      <c r="P11" s="180"/>
      <c r="Q11" s="180"/>
      <c r="R11" s="180"/>
      <c r="S11" s="180"/>
      <c r="T11" s="180"/>
      <c r="U11" s="180"/>
    </row>
    <row r="12" spans="1:21" ht="109.2" customHeight="1">
      <c r="A12" s="205"/>
      <c r="B12" s="206" t="s">
        <v>7</v>
      </c>
      <c r="C12" s="363" t="s">
        <v>8</v>
      </c>
      <c r="D12" s="363"/>
      <c r="E12" s="363"/>
      <c r="F12" s="363"/>
      <c r="G12" s="205"/>
      <c r="H12" s="205"/>
      <c r="I12" s="205"/>
      <c r="J12" s="180"/>
      <c r="K12" s="180"/>
      <c r="L12" s="180"/>
      <c r="M12" s="180"/>
      <c r="N12" s="180"/>
      <c r="O12" s="180"/>
      <c r="P12" s="180"/>
      <c r="Q12" s="180"/>
      <c r="R12" s="180"/>
      <c r="S12" s="180"/>
      <c r="T12" s="180"/>
      <c r="U12" s="180"/>
    </row>
    <row r="13" spans="1:21" ht="85.2" customHeight="1">
      <c r="A13" s="205"/>
      <c r="B13" s="206" t="s">
        <v>9</v>
      </c>
      <c r="C13" s="363" t="s">
        <v>10</v>
      </c>
      <c r="D13" s="363"/>
      <c r="E13" s="363"/>
      <c r="F13" s="363"/>
      <c r="G13" s="205"/>
      <c r="H13" s="205"/>
      <c r="I13" s="205"/>
      <c r="J13" s="180"/>
      <c r="K13" s="180"/>
      <c r="L13" s="180"/>
      <c r="M13" s="180"/>
      <c r="N13" s="180"/>
      <c r="O13" s="180"/>
      <c r="P13" s="180"/>
      <c r="Q13" s="180"/>
      <c r="R13" s="180"/>
      <c r="S13" s="180"/>
      <c r="T13" s="180"/>
      <c r="U13" s="180"/>
    </row>
    <row r="14" spans="1:21" ht="159.6" customHeight="1">
      <c r="A14" s="205"/>
      <c r="B14" s="206" t="s">
        <v>11</v>
      </c>
      <c r="C14" s="363" t="s">
        <v>12</v>
      </c>
      <c r="D14" s="363"/>
      <c r="E14" s="363"/>
      <c r="F14" s="363"/>
      <c r="G14" s="205"/>
      <c r="H14" s="205"/>
      <c r="I14" s="205"/>
      <c r="J14" s="180"/>
      <c r="K14" s="180"/>
      <c r="L14" s="180"/>
      <c r="M14" s="180"/>
      <c r="N14" s="180"/>
      <c r="O14" s="180"/>
      <c r="P14" s="180"/>
      <c r="Q14" s="180"/>
      <c r="R14" s="180"/>
      <c r="S14" s="180"/>
      <c r="T14" s="180"/>
      <c r="U14" s="180"/>
    </row>
    <row r="15" spans="1:21" ht="59.4" customHeight="1">
      <c r="A15" s="205"/>
      <c r="B15" s="206" t="s">
        <v>13</v>
      </c>
      <c r="C15" s="364" t="s">
        <v>14</v>
      </c>
      <c r="D15" s="364"/>
      <c r="E15" s="364"/>
      <c r="F15" s="364"/>
      <c r="G15" s="205"/>
      <c r="H15" s="205"/>
      <c r="I15" s="205"/>
      <c r="J15" s="180"/>
      <c r="K15" s="180"/>
      <c r="L15" s="180"/>
      <c r="M15" s="180"/>
      <c r="N15" s="180"/>
      <c r="O15" s="180"/>
      <c r="P15" s="180"/>
      <c r="Q15" s="180"/>
      <c r="R15" s="180"/>
      <c r="S15" s="180"/>
      <c r="T15" s="180"/>
      <c r="U15" s="180"/>
    </row>
    <row r="16" spans="1:21">
      <c r="A16" s="205"/>
      <c r="B16" s="205"/>
      <c r="C16" s="205"/>
      <c r="D16" s="205"/>
      <c r="E16" s="205"/>
      <c r="F16" s="205"/>
      <c r="G16" s="205"/>
      <c r="H16" s="205"/>
      <c r="I16" s="205"/>
      <c r="J16" s="180"/>
      <c r="K16" s="180"/>
      <c r="L16" s="180"/>
      <c r="M16" s="180"/>
      <c r="N16" s="180"/>
      <c r="O16" s="180"/>
      <c r="P16" s="180"/>
      <c r="Q16" s="180"/>
      <c r="R16" s="180"/>
      <c r="S16" s="180"/>
      <c r="T16" s="180"/>
      <c r="U16" s="180"/>
    </row>
    <row r="17" spans="1:21">
      <c r="A17" s="205"/>
      <c r="B17" s="205"/>
      <c r="C17" s="205"/>
      <c r="D17" s="205"/>
      <c r="E17" s="205"/>
      <c r="F17" s="205"/>
      <c r="G17" s="205"/>
      <c r="H17" s="205"/>
      <c r="I17" s="205"/>
      <c r="J17" s="180"/>
      <c r="K17" s="180"/>
      <c r="L17" s="180"/>
      <c r="M17" s="180"/>
      <c r="N17" s="180"/>
      <c r="O17" s="180"/>
      <c r="P17" s="180"/>
      <c r="Q17" s="180"/>
      <c r="R17" s="180"/>
      <c r="S17" s="180"/>
      <c r="T17" s="180"/>
      <c r="U17" s="180"/>
    </row>
    <row r="18" spans="1:21">
      <c r="A18" s="205"/>
      <c r="B18" s="205"/>
      <c r="C18" s="205"/>
      <c r="D18" s="205"/>
      <c r="E18" s="205"/>
      <c r="F18" s="205"/>
      <c r="G18" s="205"/>
      <c r="H18" s="205"/>
      <c r="I18" s="205"/>
      <c r="J18" s="180"/>
      <c r="K18" s="180"/>
      <c r="L18" s="180"/>
      <c r="M18" s="180"/>
      <c r="N18" s="180"/>
      <c r="O18" s="180"/>
      <c r="P18" s="180"/>
      <c r="Q18" s="180"/>
      <c r="R18" s="180"/>
      <c r="S18" s="180"/>
      <c r="T18" s="180"/>
      <c r="U18" s="180"/>
    </row>
    <row r="19" spans="1:21">
      <c r="A19" s="205"/>
      <c r="B19" s="205"/>
      <c r="C19" s="205"/>
      <c r="D19" s="205"/>
      <c r="E19" s="205"/>
      <c r="F19" s="205"/>
      <c r="G19" s="205"/>
      <c r="H19" s="205"/>
      <c r="I19" s="205"/>
      <c r="J19" s="180"/>
      <c r="K19" s="180"/>
      <c r="L19" s="180"/>
      <c r="M19" s="180"/>
      <c r="N19" s="180"/>
      <c r="O19" s="180"/>
      <c r="P19" s="180"/>
      <c r="Q19" s="180"/>
      <c r="R19" s="180"/>
      <c r="S19" s="180"/>
      <c r="T19" s="180"/>
      <c r="U19" s="180"/>
    </row>
    <row r="20" spans="1:21">
      <c r="A20" s="205"/>
      <c r="B20" s="205"/>
      <c r="C20" s="205"/>
      <c r="D20" s="205"/>
      <c r="E20" s="205"/>
      <c r="F20" s="205"/>
      <c r="G20" s="205"/>
      <c r="H20" s="205"/>
      <c r="I20" s="205"/>
      <c r="J20" s="180"/>
      <c r="K20" s="180"/>
      <c r="L20" s="180"/>
      <c r="M20" s="180"/>
      <c r="N20" s="180"/>
      <c r="O20" s="180"/>
      <c r="P20" s="180"/>
      <c r="Q20" s="180"/>
      <c r="R20" s="180"/>
      <c r="S20" s="180"/>
      <c r="T20" s="180"/>
      <c r="U20" s="180"/>
    </row>
    <row r="21" spans="1:21">
      <c r="A21" s="205"/>
      <c r="B21" s="205"/>
      <c r="C21" s="205"/>
      <c r="D21" s="205"/>
      <c r="E21" s="205"/>
      <c r="F21" s="205"/>
      <c r="G21" s="205"/>
      <c r="H21" s="205"/>
      <c r="I21" s="205"/>
      <c r="J21" s="180"/>
      <c r="K21" s="180"/>
      <c r="L21" s="180"/>
      <c r="M21" s="180"/>
      <c r="N21" s="180"/>
      <c r="O21" s="180"/>
      <c r="P21" s="180"/>
      <c r="Q21" s="180"/>
      <c r="R21" s="180"/>
      <c r="S21" s="180"/>
      <c r="T21" s="180"/>
      <c r="U21" s="180"/>
    </row>
    <row r="22" spans="1:21">
      <c r="A22" s="205"/>
      <c r="B22" s="205"/>
      <c r="C22" s="205"/>
      <c r="D22" s="205"/>
      <c r="E22" s="205"/>
      <c r="F22" s="205"/>
      <c r="G22" s="205"/>
      <c r="H22" s="205"/>
      <c r="I22" s="205"/>
      <c r="J22" s="180"/>
      <c r="K22" s="180"/>
      <c r="L22" s="180"/>
      <c r="M22" s="180"/>
      <c r="N22" s="180"/>
      <c r="O22" s="180"/>
      <c r="P22" s="180"/>
      <c r="Q22" s="180"/>
      <c r="R22" s="180"/>
      <c r="S22" s="180"/>
      <c r="T22" s="180"/>
      <c r="U22" s="180"/>
    </row>
    <row r="23" spans="1:21">
      <c r="A23" s="205"/>
      <c r="B23" s="205"/>
      <c r="C23" s="205"/>
      <c r="D23" s="205"/>
      <c r="E23" s="205"/>
      <c r="F23" s="205"/>
      <c r="G23" s="205"/>
      <c r="H23" s="205"/>
      <c r="I23" s="205"/>
      <c r="J23" s="180"/>
      <c r="K23" s="180"/>
      <c r="L23" s="180"/>
      <c r="M23" s="180"/>
      <c r="N23" s="180"/>
      <c r="O23" s="180"/>
      <c r="P23" s="180"/>
      <c r="Q23" s="180"/>
      <c r="R23" s="180"/>
      <c r="S23" s="180"/>
      <c r="T23" s="180"/>
      <c r="U23" s="180"/>
    </row>
    <row r="24" spans="1:21">
      <c r="A24" s="205"/>
      <c r="B24" s="205"/>
      <c r="C24" s="205"/>
      <c r="D24" s="205"/>
      <c r="E24" s="205"/>
      <c r="F24" s="205"/>
      <c r="G24" s="205"/>
      <c r="H24" s="205"/>
      <c r="I24" s="205"/>
      <c r="J24" s="180"/>
      <c r="K24" s="180"/>
      <c r="L24" s="180"/>
      <c r="M24" s="180"/>
      <c r="N24" s="180"/>
      <c r="O24" s="180"/>
      <c r="P24" s="180"/>
      <c r="Q24" s="180"/>
      <c r="R24" s="180"/>
      <c r="S24" s="180"/>
      <c r="T24" s="180"/>
      <c r="U24" s="180"/>
    </row>
    <row r="25" spans="1:21">
      <c r="A25" s="205"/>
      <c r="B25" s="205"/>
      <c r="C25" s="205"/>
      <c r="D25" s="205"/>
      <c r="E25" s="205"/>
      <c r="F25" s="205"/>
      <c r="G25" s="205"/>
      <c r="H25" s="205"/>
      <c r="I25" s="205"/>
      <c r="J25" s="180"/>
      <c r="K25" s="180"/>
      <c r="L25" s="180"/>
      <c r="M25" s="180"/>
      <c r="N25" s="180"/>
      <c r="O25" s="180"/>
      <c r="P25" s="180"/>
      <c r="Q25" s="180"/>
      <c r="R25" s="180"/>
      <c r="S25" s="180"/>
      <c r="T25" s="180"/>
      <c r="U25" s="180"/>
    </row>
    <row r="26" spans="1:21">
      <c r="A26" s="205"/>
      <c r="B26" s="205"/>
      <c r="C26" s="205"/>
      <c r="D26" s="205"/>
      <c r="E26" s="205"/>
      <c r="F26" s="205"/>
      <c r="G26" s="205"/>
      <c r="H26" s="205"/>
      <c r="I26" s="205"/>
      <c r="J26" s="180"/>
      <c r="K26" s="180"/>
      <c r="L26" s="180"/>
      <c r="M26" s="180"/>
      <c r="N26" s="180"/>
      <c r="O26" s="180"/>
      <c r="P26" s="180"/>
      <c r="Q26" s="180"/>
      <c r="R26" s="180"/>
      <c r="S26" s="180"/>
      <c r="T26" s="180"/>
      <c r="U26" s="180"/>
    </row>
    <row r="27" spans="1:21">
      <c r="A27" s="205"/>
      <c r="B27" s="205"/>
      <c r="C27" s="205"/>
      <c r="D27" s="205"/>
      <c r="E27" s="205"/>
      <c r="F27" s="205"/>
      <c r="G27" s="205"/>
      <c r="H27" s="205"/>
      <c r="I27" s="205"/>
      <c r="J27" s="180"/>
      <c r="K27" s="180"/>
      <c r="L27" s="180"/>
      <c r="M27" s="180"/>
      <c r="N27" s="180"/>
      <c r="O27" s="180"/>
      <c r="P27" s="180"/>
      <c r="Q27" s="180"/>
      <c r="R27" s="180"/>
      <c r="S27" s="180"/>
      <c r="T27" s="180"/>
      <c r="U27" s="180"/>
    </row>
    <row r="28" spans="1:21">
      <c r="A28" s="205"/>
      <c r="B28" s="205"/>
      <c r="C28" s="205"/>
      <c r="D28" s="205"/>
      <c r="E28" s="205"/>
      <c r="F28" s="205"/>
      <c r="G28" s="205"/>
      <c r="H28" s="205"/>
      <c r="I28" s="205"/>
      <c r="J28" s="180"/>
      <c r="K28" s="180"/>
      <c r="L28" s="180"/>
      <c r="M28" s="180"/>
      <c r="N28" s="180"/>
      <c r="O28" s="180"/>
      <c r="P28" s="180"/>
      <c r="Q28" s="180"/>
      <c r="R28" s="180"/>
      <c r="S28" s="180"/>
      <c r="T28" s="180"/>
      <c r="U28" s="180"/>
    </row>
    <row r="29" spans="1:21">
      <c r="A29" s="205"/>
      <c r="B29" s="205"/>
      <c r="C29" s="205"/>
      <c r="D29" s="205"/>
      <c r="E29" s="205"/>
      <c r="F29" s="205"/>
      <c r="G29" s="205"/>
      <c r="H29" s="205"/>
      <c r="I29" s="205"/>
      <c r="J29" s="180"/>
      <c r="K29" s="180"/>
      <c r="L29" s="180"/>
      <c r="M29" s="180"/>
      <c r="N29" s="180"/>
      <c r="O29" s="180"/>
      <c r="P29" s="180"/>
      <c r="Q29" s="180"/>
      <c r="R29" s="180"/>
      <c r="S29" s="180"/>
      <c r="T29" s="180"/>
      <c r="U29" s="180"/>
    </row>
    <row r="30" spans="1:21">
      <c r="A30" s="205"/>
      <c r="B30" s="205"/>
      <c r="C30" s="205"/>
      <c r="D30" s="205"/>
      <c r="E30" s="205"/>
      <c r="F30" s="205"/>
      <c r="G30" s="205"/>
      <c r="H30" s="205"/>
      <c r="I30" s="205"/>
      <c r="J30" s="180"/>
      <c r="K30" s="180"/>
      <c r="L30" s="180"/>
      <c r="M30" s="180"/>
      <c r="N30" s="180"/>
      <c r="O30" s="180"/>
      <c r="P30" s="180"/>
      <c r="Q30" s="180"/>
      <c r="R30" s="180"/>
      <c r="S30" s="180"/>
      <c r="T30" s="180"/>
      <c r="U30" s="180"/>
    </row>
    <row r="31" spans="1:21">
      <c r="A31" s="205"/>
      <c r="B31" s="205"/>
      <c r="C31" s="205"/>
      <c r="D31" s="205"/>
      <c r="E31" s="205"/>
      <c r="F31" s="205"/>
      <c r="G31" s="205"/>
      <c r="H31" s="205"/>
      <c r="I31" s="205"/>
      <c r="J31" s="180"/>
      <c r="K31" s="180"/>
      <c r="L31" s="180"/>
      <c r="M31" s="180"/>
      <c r="N31" s="180"/>
      <c r="O31" s="180"/>
      <c r="P31" s="180"/>
      <c r="Q31" s="180"/>
      <c r="R31" s="180"/>
      <c r="S31" s="180"/>
      <c r="T31" s="180"/>
      <c r="U31" s="180"/>
    </row>
    <row r="32" spans="1:21">
      <c r="A32" s="205"/>
      <c r="B32" s="205"/>
      <c r="C32" s="205"/>
      <c r="D32" s="205"/>
      <c r="E32" s="205"/>
      <c r="F32" s="205"/>
      <c r="G32" s="205"/>
      <c r="H32" s="205"/>
      <c r="I32" s="205"/>
      <c r="J32" s="180"/>
      <c r="K32" s="180"/>
      <c r="L32" s="180"/>
      <c r="M32" s="180"/>
      <c r="N32" s="180"/>
      <c r="O32" s="180"/>
      <c r="P32" s="180"/>
      <c r="Q32" s="180"/>
      <c r="R32" s="180"/>
      <c r="S32" s="180"/>
      <c r="T32" s="180"/>
      <c r="U32" s="180"/>
    </row>
    <row r="33" spans="1:21">
      <c r="A33" s="205"/>
      <c r="B33" s="205"/>
      <c r="C33" s="205"/>
      <c r="D33" s="205"/>
      <c r="E33" s="205"/>
      <c r="F33" s="205"/>
      <c r="G33" s="205"/>
      <c r="H33" s="205"/>
      <c r="I33" s="205"/>
      <c r="J33" s="180"/>
      <c r="K33" s="180"/>
      <c r="L33" s="180"/>
      <c r="M33" s="180"/>
      <c r="N33" s="180"/>
      <c r="O33" s="180"/>
      <c r="P33" s="180"/>
      <c r="Q33" s="180"/>
      <c r="R33" s="180"/>
      <c r="S33" s="180"/>
      <c r="T33" s="180"/>
      <c r="U33" s="180"/>
    </row>
    <row r="34" spans="1:21">
      <c r="A34" s="205"/>
      <c r="B34" s="205"/>
      <c r="C34" s="205"/>
      <c r="D34" s="205"/>
      <c r="E34" s="205"/>
      <c r="F34" s="205"/>
      <c r="G34" s="205"/>
      <c r="H34" s="205"/>
      <c r="I34" s="205"/>
      <c r="J34" s="180"/>
      <c r="K34" s="180"/>
      <c r="L34" s="180"/>
      <c r="M34" s="180"/>
      <c r="N34" s="180"/>
      <c r="O34" s="180"/>
      <c r="P34" s="180"/>
      <c r="Q34" s="180"/>
      <c r="R34" s="180"/>
      <c r="S34" s="180"/>
      <c r="T34" s="180"/>
      <c r="U34" s="180"/>
    </row>
    <row r="35" spans="1:21">
      <c r="A35" s="205"/>
      <c r="B35" s="205"/>
      <c r="C35" s="205"/>
      <c r="D35" s="205"/>
      <c r="E35" s="205"/>
      <c r="F35" s="205"/>
      <c r="G35" s="205"/>
      <c r="H35" s="205"/>
      <c r="I35" s="205"/>
      <c r="J35" s="180"/>
      <c r="K35" s="180"/>
      <c r="L35" s="180"/>
      <c r="M35" s="180"/>
      <c r="N35" s="180"/>
      <c r="O35" s="180"/>
      <c r="P35" s="180"/>
      <c r="Q35" s="180"/>
      <c r="R35" s="180"/>
      <c r="S35" s="180"/>
      <c r="T35" s="180"/>
      <c r="U35" s="180"/>
    </row>
    <row r="36" spans="1:21">
      <c r="A36" s="205"/>
      <c r="B36" s="205"/>
      <c r="C36" s="205"/>
      <c r="D36" s="205"/>
      <c r="E36" s="205"/>
      <c r="F36" s="205"/>
      <c r="G36" s="205"/>
      <c r="H36" s="205"/>
      <c r="I36" s="205"/>
      <c r="J36" s="180"/>
      <c r="K36" s="180"/>
      <c r="L36" s="180"/>
      <c r="M36" s="180"/>
      <c r="N36" s="180"/>
      <c r="O36" s="180"/>
      <c r="P36" s="180"/>
      <c r="Q36" s="180"/>
      <c r="R36" s="180"/>
      <c r="S36" s="180"/>
      <c r="T36" s="180"/>
      <c r="U36" s="180"/>
    </row>
    <row r="37" spans="1:21">
      <c r="A37" s="205"/>
      <c r="B37" s="205"/>
      <c r="C37" s="205"/>
      <c r="D37" s="205"/>
      <c r="E37" s="205"/>
      <c r="F37" s="205"/>
      <c r="G37" s="205"/>
      <c r="H37" s="205"/>
      <c r="I37" s="205"/>
      <c r="J37" s="180"/>
      <c r="K37" s="180"/>
      <c r="L37" s="180"/>
      <c r="M37" s="180"/>
      <c r="N37" s="180"/>
      <c r="O37" s="180"/>
      <c r="P37" s="180"/>
      <c r="Q37" s="180"/>
      <c r="R37" s="180"/>
      <c r="S37" s="180"/>
      <c r="T37" s="180"/>
      <c r="U37" s="180"/>
    </row>
    <row r="38" spans="1:21">
      <c r="A38" s="205"/>
      <c r="B38" s="205"/>
      <c r="C38" s="205"/>
      <c r="D38" s="205"/>
      <c r="E38" s="205"/>
      <c r="F38" s="205"/>
      <c r="G38" s="205"/>
      <c r="H38" s="205"/>
      <c r="I38" s="205"/>
      <c r="J38" s="180"/>
      <c r="K38" s="180"/>
      <c r="L38" s="180"/>
      <c r="M38" s="180"/>
      <c r="N38" s="180"/>
      <c r="O38" s="180"/>
      <c r="P38" s="180"/>
      <c r="Q38" s="180"/>
      <c r="R38" s="180"/>
      <c r="S38" s="180"/>
      <c r="T38" s="180"/>
      <c r="U38" s="180"/>
    </row>
    <row r="39" spans="1:21">
      <c r="A39" s="205"/>
      <c r="B39" s="205"/>
      <c r="C39" s="205"/>
      <c r="D39" s="205"/>
      <c r="E39" s="205"/>
      <c r="F39" s="205"/>
      <c r="G39" s="205"/>
      <c r="H39" s="205"/>
      <c r="I39" s="205"/>
      <c r="J39" s="180"/>
      <c r="K39" s="180"/>
      <c r="L39" s="180"/>
      <c r="M39" s="180"/>
      <c r="N39" s="180"/>
      <c r="O39" s="180"/>
      <c r="P39" s="180"/>
      <c r="Q39" s="180"/>
      <c r="R39" s="180"/>
      <c r="S39" s="180"/>
      <c r="T39" s="180"/>
      <c r="U39" s="180"/>
    </row>
    <row r="40" spans="1:21">
      <c r="A40" s="205"/>
      <c r="B40" s="205"/>
      <c r="C40" s="205"/>
      <c r="D40" s="205"/>
      <c r="E40" s="205"/>
      <c r="F40" s="205"/>
      <c r="G40" s="205"/>
      <c r="H40" s="205"/>
      <c r="I40" s="205"/>
      <c r="J40" s="180"/>
      <c r="K40" s="180"/>
      <c r="L40" s="180"/>
      <c r="M40" s="180"/>
      <c r="N40" s="180"/>
      <c r="O40" s="180"/>
      <c r="P40" s="180"/>
      <c r="Q40" s="180"/>
      <c r="R40" s="180"/>
      <c r="S40" s="180"/>
      <c r="T40" s="180"/>
      <c r="U40" s="180"/>
    </row>
    <row r="41" spans="1:21">
      <c r="A41" s="205"/>
      <c r="B41" s="205"/>
      <c r="C41" s="205"/>
      <c r="D41" s="205"/>
      <c r="E41" s="205"/>
      <c r="F41" s="205"/>
      <c r="G41" s="205"/>
      <c r="H41" s="205"/>
      <c r="I41" s="205"/>
      <c r="J41" s="180"/>
      <c r="K41" s="180"/>
      <c r="L41" s="180"/>
      <c r="M41" s="180"/>
      <c r="N41" s="180"/>
      <c r="O41" s="180"/>
      <c r="P41" s="180"/>
      <c r="Q41" s="180"/>
      <c r="R41" s="180"/>
      <c r="S41" s="180"/>
      <c r="T41" s="180"/>
      <c r="U41" s="180"/>
    </row>
    <row r="42" spans="1:21">
      <c r="A42" s="205"/>
      <c r="B42" s="205"/>
      <c r="C42" s="205"/>
      <c r="D42" s="205"/>
      <c r="E42" s="205"/>
      <c r="F42" s="205"/>
      <c r="G42" s="205"/>
      <c r="H42" s="205"/>
      <c r="I42" s="205"/>
      <c r="J42" s="180"/>
      <c r="K42" s="180"/>
      <c r="L42" s="180"/>
      <c r="M42" s="180"/>
      <c r="N42" s="180"/>
      <c r="O42" s="180"/>
      <c r="P42" s="180"/>
      <c r="Q42" s="180"/>
      <c r="R42" s="180"/>
      <c r="S42" s="180"/>
      <c r="T42" s="180"/>
      <c r="U42" s="180"/>
    </row>
    <row r="43" spans="1:21">
      <c r="A43" s="205"/>
      <c r="B43" s="205"/>
      <c r="C43" s="205"/>
      <c r="D43" s="205"/>
      <c r="E43" s="205"/>
      <c r="F43" s="205"/>
      <c r="G43" s="205"/>
      <c r="H43" s="205"/>
      <c r="I43" s="205"/>
      <c r="J43" s="180"/>
      <c r="K43" s="180"/>
      <c r="L43" s="180"/>
      <c r="M43" s="180"/>
      <c r="N43" s="180"/>
      <c r="O43" s="180"/>
      <c r="P43" s="180"/>
      <c r="Q43" s="180"/>
      <c r="R43" s="180"/>
      <c r="S43" s="180"/>
      <c r="T43" s="180"/>
      <c r="U43" s="180"/>
    </row>
    <row r="44" spans="1:21">
      <c r="A44" s="205"/>
      <c r="B44" s="205"/>
      <c r="C44" s="205"/>
      <c r="D44" s="205"/>
      <c r="E44" s="205"/>
      <c r="F44" s="205"/>
      <c r="G44" s="205"/>
      <c r="H44" s="205"/>
      <c r="I44" s="205"/>
      <c r="J44" s="180"/>
      <c r="K44" s="180"/>
      <c r="L44" s="180"/>
      <c r="M44" s="180"/>
      <c r="N44" s="180"/>
      <c r="O44" s="180"/>
      <c r="P44" s="180"/>
      <c r="Q44" s="180"/>
      <c r="R44" s="180"/>
      <c r="S44" s="180"/>
      <c r="T44" s="180"/>
      <c r="U44" s="180"/>
    </row>
    <row r="45" spans="1:21">
      <c r="A45" s="205"/>
      <c r="B45" s="205"/>
      <c r="C45" s="205"/>
      <c r="D45" s="205"/>
      <c r="E45" s="205"/>
      <c r="F45" s="205"/>
      <c r="G45" s="205"/>
      <c r="H45" s="205"/>
      <c r="I45" s="205"/>
      <c r="J45" s="180"/>
      <c r="K45" s="180"/>
      <c r="L45" s="180"/>
      <c r="M45" s="180"/>
      <c r="N45" s="180"/>
      <c r="O45" s="180"/>
      <c r="P45" s="180"/>
      <c r="Q45" s="180"/>
      <c r="R45" s="180"/>
      <c r="S45" s="180"/>
      <c r="T45" s="180"/>
      <c r="U45" s="180"/>
    </row>
    <row r="46" spans="1:21">
      <c r="A46" s="205"/>
      <c r="B46" s="205"/>
      <c r="C46" s="205"/>
      <c r="D46" s="205"/>
      <c r="E46" s="205"/>
      <c r="F46" s="205"/>
      <c r="G46" s="205"/>
      <c r="H46" s="205"/>
      <c r="I46" s="205"/>
      <c r="J46" s="180"/>
      <c r="K46" s="180"/>
      <c r="L46" s="180"/>
      <c r="M46" s="180"/>
      <c r="N46" s="180"/>
      <c r="O46" s="180"/>
      <c r="P46" s="180"/>
      <c r="Q46" s="180"/>
      <c r="R46" s="180"/>
      <c r="S46" s="180"/>
      <c r="T46" s="180"/>
      <c r="U46" s="180"/>
    </row>
    <row r="47" spans="1:21">
      <c r="A47" s="205"/>
      <c r="B47" s="205"/>
      <c r="C47" s="205"/>
      <c r="D47" s="205"/>
      <c r="E47" s="205"/>
      <c r="F47" s="205"/>
      <c r="G47" s="205"/>
      <c r="H47" s="205"/>
      <c r="I47" s="205"/>
      <c r="J47" s="180"/>
      <c r="K47" s="180"/>
      <c r="L47" s="180"/>
      <c r="M47" s="180"/>
      <c r="N47" s="180"/>
      <c r="O47" s="180"/>
      <c r="P47" s="180"/>
      <c r="Q47" s="180"/>
      <c r="R47" s="180"/>
      <c r="S47" s="180"/>
      <c r="T47" s="180"/>
      <c r="U47" s="180"/>
    </row>
    <row r="48" spans="1:21">
      <c r="A48" s="205"/>
      <c r="B48" s="205"/>
      <c r="C48" s="205"/>
      <c r="D48" s="205"/>
      <c r="E48" s="205"/>
      <c r="F48" s="205"/>
      <c r="G48" s="205"/>
      <c r="H48" s="205"/>
      <c r="I48" s="205"/>
      <c r="J48" s="180"/>
      <c r="K48" s="180"/>
      <c r="L48" s="180"/>
      <c r="M48" s="180"/>
      <c r="N48" s="180"/>
      <c r="O48" s="180"/>
      <c r="P48" s="180"/>
      <c r="Q48" s="180"/>
      <c r="R48" s="180"/>
      <c r="S48" s="180"/>
      <c r="T48" s="180"/>
      <c r="U48" s="180"/>
    </row>
    <row r="49" spans="1:21">
      <c r="A49" s="205"/>
      <c r="B49" s="205"/>
      <c r="C49" s="205"/>
      <c r="D49" s="205"/>
      <c r="E49" s="205"/>
      <c r="F49" s="205"/>
      <c r="G49" s="205"/>
      <c r="H49" s="205"/>
      <c r="I49" s="205"/>
      <c r="J49" s="180"/>
      <c r="K49" s="180"/>
      <c r="L49" s="180"/>
      <c r="M49" s="180"/>
      <c r="N49" s="180"/>
      <c r="O49" s="180"/>
      <c r="P49" s="180"/>
      <c r="Q49" s="180"/>
      <c r="R49" s="180"/>
      <c r="S49" s="180"/>
      <c r="T49" s="180"/>
      <c r="U49" s="180"/>
    </row>
    <row r="50" spans="1:21">
      <c r="A50" s="205"/>
      <c r="B50" s="205"/>
      <c r="C50" s="205"/>
      <c r="D50" s="205"/>
      <c r="E50" s="205"/>
      <c r="F50" s="205"/>
      <c r="G50" s="205"/>
      <c r="H50" s="205"/>
      <c r="I50" s="205"/>
      <c r="J50" s="180"/>
      <c r="K50" s="180"/>
      <c r="L50" s="180"/>
      <c r="M50" s="180"/>
      <c r="N50" s="180"/>
      <c r="O50" s="180"/>
      <c r="P50" s="180"/>
      <c r="Q50" s="180"/>
      <c r="R50" s="180"/>
      <c r="S50" s="180"/>
      <c r="T50" s="180"/>
      <c r="U50" s="180"/>
    </row>
    <row r="51" spans="1:21">
      <c r="A51" s="205"/>
      <c r="B51" s="205"/>
      <c r="C51" s="205"/>
      <c r="D51" s="205"/>
      <c r="E51" s="205"/>
      <c r="F51" s="205"/>
      <c r="G51" s="205"/>
      <c r="H51" s="205"/>
      <c r="I51" s="205"/>
      <c r="J51" s="180"/>
      <c r="K51" s="180"/>
      <c r="L51" s="180"/>
      <c r="M51" s="180"/>
      <c r="N51" s="180"/>
      <c r="O51" s="180"/>
      <c r="P51" s="180"/>
      <c r="Q51" s="180"/>
      <c r="R51" s="180"/>
      <c r="S51" s="180"/>
      <c r="T51" s="180"/>
      <c r="U51" s="180"/>
    </row>
    <row r="52" spans="1:21">
      <c r="A52" s="205"/>
      <c r="B52" s="205"/>
      <c r="C52" s="205"/>
      <c r="D52" s="205"/>
      <c r="E52" s="205"/>
      <c r="F52" s="205"/>
      <c r="G52" s="205"/>
      <c r="H52" s="205"/>
      <c r="I52" s="205"/>
      <c r="J52" s="180"/>
      <c r="K52" s="180"/>
      <c r="L52" s="180"/>
      <c r="M52" s="180"/>
      <c r="N52" s="180"/>
      <c r="O52" s="180"/>
      <c r="P52" s="180"/>
      <c r="Q52" s="180"/>
      <c r="R52" s="180"/>
      <c r="S52" s="180"/>
      <c r="T52" s="180"/>
      <c r="U52" s="180"/>
    </row>
    <row r="53" spans="1:21">
      <c r="A53" s="205"/>
      <c r="B53" s="205"/>
      <c r="C53" s="205"/>
      <c r="D53" s="205"/>
      <c r="E53" s="205"/>
      <c r="F53" s="205"/>
      <c r="G53" s="205"/>
      <c r="H53" s="205"/>
      <c r="I53" s="205"/>
      <c r="J53" s="180"/>
      <c r="K53" s="180"/>
      <c r="L53" s="180"/>
      <c r="M53" s="180"/>
      <c r="N53" s="180"/>
      <c r="O53" s="180"/>
      <c r="P53" s="180"/>
      <c r="Q53" s="180"/>
      <c r="R53" s="180"/>
      <c r="S53" s="180"/>
      <c r="T53" s="180"/>
      <c r="U53" s="180"/>
    </row>
    <row r="54" spans="1:21">
      <c r="A54" s="205"/>
      <c r="B54" s="205"/>
      <c r="C54" s="205"/>
      <c r="D54" s="205"/>
      <c r="E54" s="205"/>
      <c r="F54" s="205"/>
      <c r="G54" s="205"/>
      <c r="H54" s="205"/>
      <c r="I54" s="205"/>
      <c r="J54" s="180"/>
      <c r="K54" s="180"/>
      <c r="L54" s="180"/>
      <c r="M54" s="180"/>
      <c r="N54" s="180"/>
      <c r="O54" s="180"/>
      <c r="P54" s="180"/>
      <c r="Q54" s="180"/>
      <c r="R54" s="180"/>
      <c r="S54" s="180"/>
      <c r="T54" s="180"/>
      <c r="U54" s="180"/>
    </row>
    <row r="55" spans="1:21">
      <c r="A55" s="205"/>
      <c r="B55" s="205"/>
      <c r="C55" s="205"/>
      <c r="D55" s="205"/>
      <c r="E55" s="205"/>
      <c r="F55" s="205"/>
      <c r="G55" s="205"/>
      <c r="H55" s="205"/>
      <c r="I55" s="205"/>
      <c r="J55" s="180"/>
      <c r="K55" s="180"/>
      <c r="L55" s="180"/>
      <c r="M55" s="180"/>
      <c r="N55" s="180"/>
      <c r="O55" s="180"/>
      <c r="P55" s="180"/>
      <c r="Q55" s="180"/>
      <c r="R55" s="180"/>
      <c r="S55" s="180"/>
      <c r="T55" s="180"/>
      <c r="U55" s="180"/>
    </row>
    <row r="56" spans="1:21">
      <c r="A56" s="205"/>
      <c r="B56" s="205"/>
      <c r="C56" s="205"/>
      <c r="D56" s="205"/>
      <c r="E56" s="205"/>
      <c r="F56" s="205"/>
      <c r="G56" s="205"/>
      <c r="H56" s="205"/>
      <c r="I56" s="205"/>
      <c r="J56" s="180"/>
      <c r="K56" s="180"/>
      <c r="L56" s="180"/>
      <c r="M56" s="180"/>
      <c r="N56" s="180"/>
      <c r="O56" s="180"/>
      <c r="P56" s="180"/>
      <c r="Q56" s="180"/>
      <c r="R56" s="180"/>
      <c r="S56" s="180"/>
      <c r="T56" s="180"/>
      <c r="U56" s="180"/>
    </row>
    <row r="57" spans="1:21">
      <c r="A57" s="205"/>
      <c r="B57" s="205"/>
      <c r="C57" s="205"/>
      <c r="D57" s="205"/>
      <c r="E57" s="205"/>
      <c r="F57" s="205"/>
      <c r="G57" s="205"/>
      <c r="H57" s="205"/>
      <c r="I57" s="205"/>
      <c r="J57" s="180"/>
      <c r="K57" s="180"/>
      <c r="L57" s="180"/>
      <c r="M57" s="180"/>
      <c r="N57" s="180"/>
      <c r="O57" s="180"/>
      <c r="P57" s="180"/>
      <c r="Q57" s="180"/>
      <c r="R57" s="180"/>
      <c r="S57" s="180"/>
      <c r="T57" s="180"/>
      <c r="U57" s="180"/>
    </row>
    <row r="58" spans="1:21">
      <c r="A58" s="205"/>
      <c r="B58" s="205"/>
      <c r="C58" s="205"/>
      <c r="D58" s="205"/>
      <c r="E58" s="205"/>
      <c r="F58" s="205"/>
      <c r="G58" s="205"/>
      <c r="H58" s="205"/>
      <c r="I58" s="205"/>
      <c r="J58" s="180"/>
      <c r="K58" s="180"/>
      <c r="L58" s="180"/>
      <c r="M58" s="180"/>
      <c r="N58" s="180"/>
      <c r="O58" s="180"/>
      <c r="P58" s="180"/>
      <c r="Q58" s="180"/>
      <c r="R58" s="180"/>
      <c r="S58" s="180"/>
      <c r="T58" s="180"/>
      <c r="U58" s="180"/>
    </row>
    <row r="59" spans="1:21">
      <c r="A59" s="205"/>
      <c r="B59" s="205"/>
      <c r="C59" s="205"/>
      <c r="D59" s="205"/>
      <c r="E59" s="205"/>
      <c r="F59" s="205"/>
      <c r="G59" s="205"/>
      <c r="H59" s="205"/>
      <c r="I59" s="205"/>
      <c r="J59" s="180"/>
      <c r="K59" s="180"/>
      <c r="L59" s="180"/>
      <c r="M59" s="180"/>
      <c r="N59" s="180"/>
      <c r="O59" s="180"/>
      <c r="P59" s="180"/>
      <c r="Q59" s="180"/>
      <c r="R59" s="180"/>
      <c r="S59" s="180"/>
      <c r="T59" s="180"/>
      <c r="U59" s="180"/>
    </row>
    <row r="60" spans="1:21">
      <c r="A60" s="205"/>
      <c r="B60" s="205"/>
      <c r="C60" s="205"/>
      <c r="D60" s="205"/>
      <c r="E60" s="205"/>
      <c r="F60" s="205"/>
      <c r="G60" s="205"/>
      <c r="H60" s="205"/>
      <c r="I60" s="205"/>
    </row>
    <row r="61" spans="1:21">
      <c r="A61" s="205"/>
      <c r="B61" s="205"/>
      <c r="C61" s="205"/>
      <c r="D61" s="205"/>
      <c r="E61" s="205"/>
      <c r="F61" s="205"/>
      <c r="G61" s="205"/>
      <c r="H61" s="205"/>
      <c r="I61" s="205"/>
    </row>
    <row r="62" spans="1:21">
      <c r="A62" s="205"/>
      <c r="B62" s="205"/>
      <c r="C62" s="205"/>
      <c r="D62" s="205"/>
      <c r="E62" s="205"/>
      <c r="F62" s="205"/>
      <c r="G62" s="205"/>
      <c r="H62" s="205"/>
      <c r="I62" s="205"/>
    </row>
    <row r="63" spans="1:21">
      <c r="A63" s="205"/>
      <c r="B63" s="205"/>
      <c r="C63" s="205"/>
      <c r="D63" s="205"/>
      <c r="E63" s="205"/>
      <c r="F63" s="205"/>
      <c r="G63" s="205"/>
      <c r="H63" s="205"/>
      <c r="I63" s="205"/>
    </row>
    <row r="64" spans="1:21">
      <c r="A64" s="205"/>
      <c r="B64" s="205"/>
      <c r="C64" s="205"/>
      <c r="D64" s="205"/>
      <c r="E64" s="205"/>
      <c r="F64" s="205"/>
      <c r="G64" s="205"/>
      <c r="H64" s="205"/>
      <c r="I64" s="205"/>
    </row>
    <row r="65" spans="1:9">
      <c r="A65" s="205"/>
      <c r="B65" s="205"/>
      <c r="C65" s="205"/>
      <c r="D65" s="205"/>
      <c r="E65" s="205"/>
      <c r="F65" s="205"/>
      <c r="G65" s="205"/>
      <c r="H65" s="205"/>
      <c r="I65" s="205"/>
    </row>
    <row r="66" spans="1:9">
      <c r="A66" s="205"/>
      <c r="B66" s="205"/>
      <c r="C66" s="205"/>
      <c r="D66" s="205"/>
      <c r="E66" s="205"/>
      <c r="F66" s="205"/>
      <c r="G66" s="205"/>
      <c r="H66" s="205"/>
      <c r="I66" s="205"/>
    </row>
    <row r="67" spans="1:9">
      <c r="A67" s="205"/>
      <c r="B67" s="205"/>
      <c r="C67" s="205"/>
      <c r="D67" s="205"/>
      <c r="E67" s="205"/>
      <c r="F67" s="205"/>
      <c r="G67" s="205"/>
      <c r="H67" s="205"/>
      <c r="I67" s="205"/>
    </row>
    <row r="68" spans="1:9">
      <c r="A68" s="205"/>
      <c r="B68" s="205"/>
      <c r="C68" s="205"/>
      <c r="D68" s="205"/>
      <c r="E68" s="205"/>
      <c r="F68" s="205"/>
      <c r="G68" s="205"/>
      <c r="H68" s="205"/>
      <c r="I68" s="205"/>
    </row>
    <row r="69" spans="1:9">
      <c r="A69" s="205"/>
      <c r="B69" s="205"/>
      <c r="C69" s="205"/>
      <c r="D69" s="205"/>
      <c r="E69" s="205"/>
      <c r="F69" s="205"/>
      <c r="G69" s="205"/>
      <c r="H69" s="205"/>
      <c r="I69" s="205"/>
    </row>
    <row r="70" spans="1:9">
      <c r="A70" s="205"/>
      <c r="B70" s="205"/>
      <c r="C70" s="205"/>
      <c r="D70" s="205"/>
      <c r="E70" s="205"/>
      <c r="F70" s="205"/>
      <c r="G70" s="205"/>
      <c r="H70" s="205"/>
      <c r="I70" s="205"/>
    </row>
    <row r="71" spans="1:9">
      <c r="A71" s="205"/>
      <c r="B71" s="205"/>
      <c r="C71" s="205"/>
      <c r="D71" s="205"/>
      <c r="E71" s="205"/>
      <c r="F71" s="205"/>
      <c r="G71" s="205"/>
      <c r="H71" s="205"/>
      <c r="I71" s="205"/>
    </row>
    <row r="72" spans="1:9">
      <c r="A72" s="205"/>
      <c r="B72" s="205"/>
      <c r="C72" s="205"/>
      <c r="D72" s="205"/>
      <c r="E72" s="205"/>
      <c r="F72" s="205"/>
      <c r="G72" s="205"/>
      <c r="H72" s="205"/>
      <c r="I72" s="205"/>
    </row>
    <row r="73" spans="1:9">
      <c r="A73" s="205"/>
      <c r="B73" s="205"/>
      <c r="C73" s="205"/>
      <c r="D73" s="205"/>
      <c r="E73" s="205"/>
      <c r="F73" s="205"/>
      <c r="G73" s="205"/>
      <c r="H73" s="205"/>
      <c r="I73" s="205"/>
    </row>
    <row r="74" spans="1:9">
      <c r="A74" s="205"/>
      <c r="B74" s="205"/>
      <c r="C74" s="205"/>
      <c r="D74" s="205"/>
      <c r="E74" s="205"/>
      <c r="F74" s="205"/>
      <c r="G74" s="205"/>
      <c r="H74" s="205"/>
      <c r="I74" s="205"/>
    </row>
    <row r="75" spans="1:9">
      <c r="A75" s="205"/>
      <c r="B75" s="205"/>
      <c r="C75" s="205"/>
      <c r="D75" s="205"/>
      <c r="E75" s="205"/>
      <c r="F75" s="205"/>
      <c r="G75" s="205"/>
      <c r="H75" s="205"/>
      <c r="I75" s="205"/>
    </row>
    <row r="76" spans="1:9">
      <c r="A76" s="205"/>
      <c r="B76" s="205"/>
      <c r="C76" s="205"/>
      <c r="D76" s="205"/>
      <c r="E76" s="205"/>
      <c r="F76" s="205"/>
      <c r="G76" s="205"/>
      <c r="H76" s="205"/>
      <c r="I76" s="205"/>
    </row>
    <row r="77" spans="1:9">
      <c r="A77" s="205"/>
      <c r="B77" s="205"/>
      <c r="C77" s="205"/>
      <c r="D77" s="205"/>
      <c r="E77" s="205"/>
      <c r="F77" s="205"/>
      <c r="G77" s="205"/>
      <c r="H77" s="205"/>
      <c r="I77" s="205"/>
    </row>
    <row r="78" spans="1:9">
      <c r="A78" s="205"/>
      <c r="B78" s="205"/>
      <c r="C78" s="205"/>
      <c r="D78" s="205"/>
      <c r="E78" s="205"/>
      <c r="F78" s="205"/>
      <c r="G78" s="205"/>
      <c r="H78" s="205"/>
      <c r="I78" s="205"/>
    </row>
    <row r="79" spans="1:9">
      <c r="A79" s="205"/>
      <c r="B79" s="205"/>
      <c r="C79" s="205"/>
      <c r="D79" s="205"/>
      <c r="E79" s="205"/>
      <c r="F79" s="205"/>
      <c r="G79" s="205"/>
      <c r="H79" s="205"/>
      <c r="I79" s="205"/>
    </row>
    <row r="80" spans="1:9">
      <c r="A80" s="205"/>
      <c r="B80" s="205"/>
      <c r="C80" s="205"/>
      <c r="D80" s="205"/>
      <c r="E80" s="205"/>
      <c r="F80" s="205"/>
      <c r="G80" s="205"/>
      <c r="H80" s="205"/>
      <c r="I80" s="205"/>
    </row>
    <row r="81" spans="1:9">
      <c r="A81" s="205"/>
      <c r="B81" s="205"/>
      <c r="C81" s="205"/>
      <c r="D81" s="205"/>
      <c r="E81" s="205"/>
      <c r="F81" s="205"/>
      <c r="G81" s="205"/>
      <c r="H81" s="205"/>
      <c r="I81" s="205"/>
    </row>
    <row r="82" spans="1:9">
      <c r="A82" s="205"/>
      <c r="B82" s="205"/>
      <c r="C82" s="205"/>
      <c r="D82" s="205"/>
      <c r="E82" s="205"/>
      <c r="F82" s="205"/>
      <c r="G82" s="205"/>
      <c r="H82" s="205"/>
      <c r="I82" s="205"/>
    </row>
    <row r="83" spans="1:9">
      <c r="A83" s="205"/>
      <c r="B83" s="205"/>
      <c r="C83" s="205"/>
      <c r="D83" s="205"/>
      <c r="E83" s="205"/>
      <c r="F83" s="205"/>
      <c r="G83" s="205"/>
      <c r="H83" s="205"/>
      <c r="I83" s="205"/>
    </row>
    <row r="84" spans="1:9">
      <c r="A84" s="205"/>
      <c r="B84" s="205"/>
      <c r="C84" s="205"/>
      <c r="D84" s="205"/>
      <c r="E84" s="205"/>
      <c r="F84" s="205"/>
      <c r="G84" s="205"/>
      <c r="H84" s="205"/>
      <c r="I84" s="205"/>
    </row>
    <row r="85" spans="1:9">
      <c r="A85" s="205"/>
      <c r="B85" s="205"/>
      <c r="C85" s="205"/>
      <c r="D85" s="205"/>
      <c r="E85" s="205"/>
      <c r="F85" s="205"/>
      <c r="G85" s="205"/>
      <c r="H85" s="205"/>
      <c r="I85" s="205"/>
    </row>
    <row r="86" spans="1:9">
      <c r="A86" s="205"/>
      <c r="B86" s="205"/>
      <c r="C86" s="205"/>
      <c r="D86" s="205"/>
      <c r="E86" s="205"/>
      <c r="F86" s="205"/>
      <c r="G86" s="205"/>
      <c r="H86" s="205"/>
      <c r="I86" s="205"/>
    </row>
    <row r="87" spans="1:9">
      <c r="A87" s="205"/>
      <c r="B87" s="205"/>
      <c r="C87" s="205"/>
      <c r="D87" s="205"/>
      <c r="E87" s="205"/>
      <c r="F87" s="205"/>
      <c r="G87" s="205"/>
      <c r="H87" s="205"/>
      <c r="I87" s="205"/>
    </row>
    <row r="88" spans="1:9">
      <c r="A88" s="205"/>
      <c r="B88" s="205"/>
      <c r="C88" s="205"/>
      <c r="D88" s="205"/>
      <c r="E88" s="205"/>
      <c r="F88" s="205"/>
      <c r="G88" s="205"/>
      <c r="H88" s="205"/>
      <c r="I88" s="205"/>
    </row>
    <row r="89" spans="1:9">
      <c r="A89" s="205"/>
      <c r="B89" s="205"/>
      <c r="C89" s="205"/>
      <c r="D89" s="205"/>
      <c r="E89" s="205"/>
      <c r="F89" s="205"/>
      <c r="G89" s="205"/>
      <c r="H89" s="205"/>
      <c r="I89" s="205"/>
    </row>
    <row r="90" spans="1:9">
      <c r="A90" s="205"/>
      <c r="B90" s="205"/>
      <c r="C90" s="205"/>
      <c r="D90" s="205"/>
      <c r="E90" s="205"/>
      <c r="F90" s="205"/>
      <c r="G90" s="205"/>
      <c r="H90" s="205"/>
      <c r="I90" s="205"/>
    </row>
    <row r="91" spans="1:9">
      <c r="A91" s="205"/>
      <c r="B91" s="205"/>
      <c r="C91" s="205"/>
      <c r="D91" s="205"/>
      <c r="E91" s="205"/>
      <c r="F91" s="205"/>
      <c r="G91" s="205"/>
      <c r="H91" s="205"/>
      <c r="I91" s="205"/>
    </row>
    <row r="92" spans="1:9">
      <c r="A92" s="205"/>
      <c r="B92" s="205"/>
      <c r="C92" s="205"/>
      <c r="D92" s="205"/>
      <c r="E92" s="205"/>
      <c r="F92" s="205"/>
      <c r="G92" s="205"/>
      <c r="H92" s="205"/>
      <c r="I92" s="205"/>
    </row>
    <row r="93" spans="1:9">
      <c r="A93" s="205"/>
      <c r="B93" s="205"/>
      <c r="C93" s="205"/>
      <c r="D93" s="205"/>
      <c r="E93" s="205"/>
      <c r="F93" s="205"/>
      <c r="G93" s="205"/>
      <c r="H93" s="205"/>
      <c r="I93" s="205"/>
    </row>
    <row r="94" spans="1:9">
      <c r="A94" s="205"/>
      <c r="B94" s="205"/>
      <c r="C94" s="205"/>
      <c r="D94" s="205"/>
      <c r="E94" s="205"/>
      <c r="F94" s="205"/>
      <c r="G94" s="205"/>
      <c r="H94" s="205"/>
      <c r="I94" s="205"/>
    </row>
    <row r="95" spans="1:9">
      <c r="A95" s="205"/>
      <c r="B95" s="205"/>
      <c r="C95" s="205"/>
      <c r="D95" s="205"/>
      <c r="E95" s="205"/>
      <c r="F95" s="205"/>
      <c r="G95" s="205"/>
      <c r="H95" s="205"/>
      <c r="I95" s="205"/>
    </row>
    <row r="96" spans="1:9">
      <c r="A96" s="205"/>
      <c r="B96" s="205"/>
      <c r="C96" s="205"/>
      <c r="D96" s="205"/>
      <c r="E96" s="205"/>
      <c r="F96" s="205"/>
      <c r="G96" s="205"/>
      <c r="H96" s="205"/>
      <c r="I96" s="205"/>
    </row>
    <row r="97" spans="1:9">
      <c r="A97" s="205"/>
      <c r="B97" s="205"/>
      <c r="C97" s="205"/>
      <c r="D97" s="205"/>
      <c r="E97" s="205"/>
      <c r="F97" s="205"/>
      <c r="G97" s="205"/>
      <c r="H97" s="205"/>
      <c r="I97" s="205"/>
    </row>
    <row r="98" spans="1:9">
      <c r="A98" s="205"/>
      <c r="B98" s="205"/>
      <c r="C98" s="205"/>
      <c r="D98" s="205"/>
      <c r="E98" s="205"/>
      <c r="F98" s="205"/>
      <c r="G98" s="205"/>
      <c r="H98" s="205"/>
      <c r="I98" s="205"/>
    </row>
    <row r="99" spans="1:9">
      <c r="A99" s="205"/>
      <c r="B99" s="205"/>
      <c r="C99" s="205"/>
      <c r="D99" s="205"/>
      <c r="E99" s="205"/>
      <c r="F99" s="205"/>
      <c r="G99" s="205"/>
      <c r="H99" s="205"/>
      <c r="I99" s="205"/>
    </row>
    <row r="100" spans="1:9">
      <c r="A100" s="205"/>
      <c r="B100" s="205"/>
      <c r="C100" s="205"/>
      <c r="D100" s="205"/>
      <c r="E100" s="205"/>
      <c r="F100" s="205"/>
      <c r="G100" s="205"/>
      <c r="H100" s="205"/>
      <c r="I100" s="205"/>
    </row>
    <row r="101" spans="1:9">
      <c r="A101" s="205"/>
      <c r="B101" s="205"/>
      <c r="C101" s="205"/>
      <c r="D101" s="205"/>
      <c r="E101" s="205"/>
      <c r="F101" s="205"/>
      <c r="G101" s="205"/>
      <c r="H101" s="205"/>
      <c r="I101" s="205"/>
    </row>
    <row r="102" spans="1:9">
      <c r="A102" s="205"/>
      <c r="B102" s="205"/>
      <c r="C102" s="205"/>
      <c r="D102" s="205"/>
      <c r="E102" s="205"/>
      <c r="F102" s="205"/>
      <c r="G102" s="205"/>
      <c r="H102" s="205"/>
      <c r="I102" s="205"/>
    </row>
    <row r="103" spans="1:9">
      <c r="A103" s="205"/>
      <c r="B103" s="205"/>
      <c r="C103" s="205"/>
      <c r="D103" s="205"/>
      <c r="E103" s="205"/>
      <c r="F103" s="205"/>
      <c r="G103" s="205"/>
      <c r="H103" s="205"/>
      <c r="I103" s="205"/>
    </row>
    <row r="104" spans="1:9">
      <c r="A104" s="205"/>
      <c r="B104" s="205"/>
      <c r="C104" s="205"/>
      <c r="D104" s="205"/>
      <c r="E104" s="205"/>
      <c r="F104" s="205"/>
      <c r="G104" s="205"/>
      <c r="H104" s="205"/>
      <c r="I104" s="205"/>
    </row>
    <row r="105" spans="1:9">
      <c r="A105" s="205"/>
      <c r="B105" s="205"/>
      <c r="C105" s="205"/>
      <c r="D105" s="205"/>
      <c r="E105" s="205"/>
      <c r="F105" s="205"/>
      <c r="G105" s="205"/>
      <c r="H105" s="205"/>
      <c r="I105" s="205"/>
    </row>
    <row r="106" spans="1:9">
      <c r="A106" s="205"/>
      <c r="B106" s="205"/>
      <c r="C106" s="205"/>
      <c r="D106" s="205"/>
      <c r="E106" s="205"/>
      <c r="F106" s="205"/>
      <c r="G106" s="205"/>
      <c r="H106" s="205"/>
      <c r="I106" s="205"/>
    </row>
    <row r="107" spans="1:9">
      <c r="A107" s="205"/>
      <c r="B107" s="205"/>
      <c r="C107" s="205"/>
      <c r="D107" s="205"/>
      <c r="E107" s="205"/>
      <c r="F107" s="205"/>
      <c r="G107" s="205"/>
      <c r="H107" s="205"/>
      <c r="I107" s="205"/>
    </row>
    <row r="108" spans="1:9">
      <c r="A108" s="205"/>
      <c r="B108" s="205"/>
      <c r="C108" s="205"/>
      <c r="D108" s="205"/>
      <c r="E108" s="205"/>
      <c r="F108" s="205"/>
      <c r="G108" s="205"/>
      <c r="H108" s="205"/>
      <c r="I108" s="205"/>
    </row>
    <row r="109" spans="1:9">
      <c r="A109" s="205"/>
      <c r="B109" s="205"/>
      <c r="C109" s="205"/>
      <c r="D109" s="205"/>
      <c r="E109" s="205"/>
      <c r="F109" s="205"/>
      <c r="G109" s="205"/>
      <c r="H109" s="205"/>
      <c r="I109" s="205"/>
    </row>
    <row r="110" spans="1:9">
      <c r="A110" s="205"/>
      <c r="B110" s="205"/>
      <c r="C110" s="205"/>
      <c r="D110" s="205"/>
      <c r="E110" s="205"/>
      <c r="F110" s="205"/>
      <c r="G110" s="205"/>
      <c r="H110" s="205"/>
      <c r="I110" s="205"/>
    </row>
    <row r="111" spans="1:9">
      <c r="A111" s="205"/>
      <c r="B111" s="205"/>
      <c r="C111" s="205"/>
      <c r="D111" s="205"/>
      <c r="E111" s="205"/>
      <c r="F111" s="205"/>
      <c r="G111" s="205"/>
      <c r="H111" s="205"/>
      <c r="I111" s="205"/>
    </row>
    <row r="112" spans="1:9">
      <c r="A112" s="205"/>
      <c r="B112" s="205"/>
      <c r="C112" s="205"/>
      <c r="D112" s="205"/>
      <c r="E112" s="205"/>
      <c r="F112" s="205"/>
      <c r="G112" s="205"/>
      <c r="H112" s="205"/>
      <c r="I112" s="205"/>
    </row>
    <row r="113" spans="1:9">
      <c r="A113" s="205"/>
      <c r="B113" s="205"/>
      <c r="C113" s="205"/>
      <c r="D113" s="205"/>
      <c r="E113" s="205"/>
      <c r="F113" s="205"/>
      <c r="G113" s="205"/>
      <c r="H113" s="205"/>
      <c r="I113" s="205"/>
    </row>
    <row r="114" spans="1:9">
      <c r="A114" s="205"/>
      <c r="B114" s="205"/>
      <c r="C114" s="205"/>
      <c r="D114" s="205"/>
      <c r="E114" s="205"/>
      <c r="F114" s="205"/>
      <c r="G114" s="205"/>
      <c r="H114" s="205"/>
      <c r="I114" s="205"/>
    </row>
    <row r="115" spans="1:9">
      <c r="A115" s="205"/>
      <c r="B115" s="205"/>
      <c r="C115" s="205"/>
      <c r="D115" s="205"/>
      <c r="E115" s="205"/>
      <c r="F115" s="205"/>
      <c r="G115" s="205"/>
      <c r="H115" s="205"/>
      <c r="I115" s="205"/>
    </row>
    <row r="116" spans="1:9">
      <c r="A116" s="205"/>
      <c r="B116" s="205"/>
      <c r="C116" s="205"/>
      <c r="D116" s="205"/>
      <c r="E116" s="205"/>
      <c r="F116" s="205"/>
      <c r="G116" s="205"/>
      <c r="H116" s="205"/>
      <c r="I116" s="205"/>
    </row>
    <row r="117" spans="1:9">
      <c r="A117" s="205"/>
      <c r="B117" s="205"/>
      <c r="C117" s="205"/>
      <c r="D117" s="205"/>
      <c r="E117" s="205"/>
      <c r="F117" s="205"/>
      <c r="G117" s="205"/>
      <c r="H117" s="205"/>
      <c r="I117" s="205"/>
    </row>
    <row r="118" spans="1:9">
      <c r="A118" s="205"/>
      <c r="B118" s="205"/>
      <c r="C118" s="205"/>
      <c r="D118" s="205"/>
      <c r="E118" s="205"/>
      <c r="F118" s="205"/>
      <c r="G118" s="205"/>
      <c r="H118" s="205"/>
      <c r="I118" s="205"/>
    </row>
    <row r="119" spans="1:9">
      <c r="A119" s="205"/>
      <c r="B119" s="205"/>
      <c r="C119" s="205"/>
      <c r="D119" s="205"/>
      <c r="E119" s="205"/>
      <c r="F119" s="205"/>
      <c r="G119" s="205"/>
      <c r="H119" s="205"/>
      <c r="I119" s="205"/>
    </row>
    <row r="120" spans="1:9">
      <c r="A120" s="205"/>
      <c r="B120" s="205"/>
      <c r="C120" s="205"/>
      <c r="D120" s="205"/>
      <c r="E120" s="205"/>
      <c r="F120" s="205"/>
      <c r="G120" s="205"/>
      <c r="H120" s="205"/>
      <c r="I120" s="205"/>
    </row>
    <row r="121" spans="1:9">
      <c r="A121" s="205"/>
      <c r="B121" s="205"/>
      <c r="C121" s="205"/>
      <c r="D121" s="205"/>
      <c r="E121" s="205"/>
      <c r="F121" s="205"/>
      <c r="G121" s="205"/>
      <c r="H121" s="205"/>
      <c r="I121" s="205"/>
    </row>
    <row r="122" spans="1:9">
      <c r="A122" s="205"/>
      <c r="B122" s="205"/>
      <c r="C122" s="205"/>
      <c r="D122" s="205"/>
      <c r="E122" s="205"/>
      <c r="F122" s="205"/>
      <c r="G122" s="205"/>
      <c r="H122" s="205"/>
      <c r="I122" s="205"/>
    </row>
    <row r="123" spans="1:9">
      <c r="A123" s="205"/>
      <c r="B123" s="205"/>
      <c r="C123" s="205"/>
      <c r="D123" s="205"/>
      <c r="E123" s="205"/>
      <c r="F123" s="205"/>
      <c r="G123" s="205"/>
      <c r="H123" s="205"/>
      <c r="I123" s="205"/>
    </row>
    <row r="124" spans="1:9">
      <c r="A124" s="205"/>
      <c r="B124" s="205"/>
      <c r="C124" s="205"/>
      <c r="D124" s="205"/>
      <c r="E124" s="205"/>
      <c r="F124" s="205"/>
      <c r="G124" s="205"/>
      <c r="H124" s="205"/>
      <c r="I124" s="205"/>
    </row>
    <row r="125" spans="1:9">
      <c r="A125" s="205"/>
      <c r="B125" s="205"/>
      <c r="C125" s="205"/>
      <c r="D125" s="205"/>
      <c r="E125" s="205"/>
      <c r="F125" s="205"/>
      <c r="G125" s="205"/>
      <c r="H125" s="205"/>
      <c r="I125" s="205"/>
    </row>
    <row r="126" spans="1:9">
      <c r="A126" s="205"/>
      <c r="B126" s="205"/>
      <c r="C126" s="205"/>
      <c r="D126" s="205"/>
      <c r="E126" s="205"/>
      <c r="F126" s="205"/>
      <c r="G126" s="205"/>
      <c r="H126" s="205"/>
      <c r="I126" s="205"/>
    </row>
    <row r="127" spans="1:9">
      <c r="A127" s="205"/>
      <c r="B127" s="205"/>
      <c r="C127" s="205"/>
      <c r="D127" s="205"/>
      <c r="E127" s="205"/>
      <c r="F127" s="205"/>
      <c r="G127" s="205"/>
      <c r="H127" s="205"/>
      <c r="I127" s="205"/>
    </row>
    <row r="128" spans="1:9">
      <c r="A128" s="205"/>
      <c r="B128" s="205"/>
      <c r="C128" s="205"/>
      <c r="D128" s="205"/>
      <c r="E128" s="205"/>
      <c r="F128" s="205"/>
      <c r="G128" s="205"/>
      <c r="H128" s="205"/>
      <c r="I128" s="205"/>
    </row>
    <row r="129" spans="1:9">
      <c r="A129" s="205"/>
      <c r="B129" s="205"/>
      <c r="C129" s="205"/>
      <c r="D129" s="205"/>
      <c r="E129" s="205"/>
      <c r="F129" s="205"/>
      <c r="G129" s="205"/>
      <c r="H129" s="205"/>
      <c r="I129" s="205"/>
    </row>
    <row r="130" spans="1:9">
      <c r="A130" s="205"/>
      <c r="B130" s="205"/>
      <c r="C130" s="205"/>
      <c r="D130" s="205"/>
      <c r="E130" s="205"/>
      <c r="F130" s="205"/>
      <c r="G130" s="205"/>
      <c r="H130" s="205"/>
      <c r="I130" s="205"/>
    </row>
    <row r="131" spans="1:9">
      <c r="A131" s="205"/>
      <c r="B131" s="205"/>
      <c r="C131" s="205"/>
      <c r="D131" s="205"/>
      <c r="E131" s="205"/>
      <c r="F131" s="205"/>
      <c r="G131" s="205"/>
      <c r="H131" s="205"/>
      <c r="I131" s="205"/>
    </row>
    <row r="132" spans="1:9">
      <c r="A132" s="205"/>
      <c r="B132" s="205"/>
      <c r="C132" s="205"/>
      <c r="D132" s="205"/>
      <c r="E132" s="205"/>
      <c r="F132" s="205"/>
      <c r="G132" s="205"/>
      <c r="H132" s="205"/>
      <c r="I132" s="205"/>
    </row>
    <row r="133" spans="1:9">
      <c r="A133" s="205"/>
      <c r="B133" s="205"/>
      <c r="C133" s="205"/>
      <c r="D133" s="205"/>
      <c r="E133" s="205"/>
      <c r="F133" s="205"/>
      <c r="G133" s="205"/>
      <c r="H133" s="205"/>
      <c r="I133" s="205"/>
    </row>
    <row r="134" spans="1:9">
      <c r="A134" s="205"/>
      <c r="B134" s="205"/>
      <c r="C134" s="205"/>
      <c r="D134" s="205"/>
      <c r="E134" s="205"/>
      <c r="F134" s="205"/>
      <c r="G134" s="205"/>
      <c r="H134" s="205"/>
      <c r="I134" s="205"/>
    </row>
    <row r="135" spans="1:9">
      <c r="A135" s="205"/>
      <c r="B135" s="205"/>
      <c r="C135" s="205"/>
      <c r="D135" s="205"/>
      <c r="E135" s="205"/>
      <c r="F135" s="205"/>
      <c r="G135" s="205"/>
      <c r="H135" s="205"/>
      <c r="I135" s="205"/>
    </row>
    <row r="136" spans="1:9">
      <c r="A136" s="205"/>
      <c r="B136" s="205"/>
      <c r="C136" s="205"/>
      <c r="D136" s="205"/>
      <c r="E136" s="205"/>
      <c r="F136" s="205"/>
      <c r="G136" s="205"/>
      <c r="H136" s="205"/>
      <c r="I136" s="205"/>
    </row>
    <row r="137" spans="1:9">
      <c r="A137" s="205"/>
      <c r="B137" s="205"/>
      <c r="C137" s="205"/>
      <c r="D137" s="205"/>
      <c r="E137" s="205"/>
      <c r="F137" s="205"/>
      <c r="G137" s="205"/>
      <c r="H137" s="205"/>
      <c r="I137" s="205"/>
    </row>
    <row r="138" spans="1:9">
      <c r="A138" s="205"/>
      <c r="B138" s="205"/>
      <c r="C138" s="205"/>
      <c r="D138" s="205"/>
      <c r="E138" s="205"/>
      <c r="F138" s="205"/>
      <c r="G138" s="205"/>
      <c r="H138" s="205"/>
      <c r="I138" s="205"/>
    </row>
    <row r="139" spans="1:9">
      <c r="A139" s="205"/>
      <c r="B139" s="205"/>
      <c r="C139" s="205"/>
      <c r="D139" s="205"/>
      <c r="E139" s="205"/>
      <c r="F139" s="205"/>
      <c r="G139" s="205"/>
      <c r="H139" s="205"/>
      <c r="I139" s="205"/>
    </row>
    <row r="140" spans="1:9">
      <c r="A140" s="205"/>
      <c r="B140" s="205"/>
      <c r="C140" s="205"/>
      <c r="D140" s="205"/>
      <c r="E140" s="205"/>
      <c r="F140" s="205"/>
      <c r="G140" s="205"/>
      <c r="H140" s="205"/>
      <c r="I140" s="205"/>
    </row>
    <row r="141" spans="1:9">
      <c r="A141" s="205"/>
      <c r="B141" s="205"/>
      <c r="C141" s="205"/>
      <c r="D141" s="205"/>
      <c r="E141" s="205"/>
      <c r="F141" s="205"/>
      <c r="G141" s="205"/>
      <c r="H141" s="205"/>
      <c r="I141" s="205"/>
    </row>
    <row r="142" spans="1:9">
      <c r="A142" s="205"/>
      <c r="B142" s="205"/>
      <c r="C142" s="205"/>
      <c r="D142" s="205"/>
      <c r="E142" s="205"/>
      <c r="F142" s="205"/>
      <c r="G142" s="205"/>
      <c r="H142" s="205"/>
      <c r="I142" s="205"/>
    </row>
    <row r="143" spans="1:9">
      <c r="A143" s="205"/>
      <c r="B143" s="205"/>
      <c r="C143" s="205"/>
      <c r="D143" s="205"/>
      <c r="E143" s="205"/>
      <c r="F143" s="205"/>
      <c r="G143" s="205"/>
      <c r="H143" s="205"/>
      <c r="I143" s="205"/>
    </row>
    <row r="144" spans="1:9">
      <c r="A144" s="205"/>
      <c r="B144" s="205"/>
      <c r="C144" s="205"/>
      <c r="D144" s="205"/>
      <c r="E144" s="205"/>
      <c r="F144" s="205"/>
      <c r="G144" s="205"/>
      <c r="H144" s="205"/>
      <c r="I144" s="205"/>
    </row>
    <row r="145" spans="1:9">
      <c r="A145" s="205"/>
      <c r="B145" s="205"/>
      <c r="C145" s="205"/>
      <c r="D145" s="205"/>
      <c r="E145" s="205"/>
      <c r="F145" s="205"/>
      <c r="G145" s="205"/>
      <c r="H145" s="205"/>
      <c r="I145" s="205"/>
    </row>
    <row r="146" spans="1:9">
      <c r="A146" s="205"/>
      <c r="B146" s="205"/>
      <c r="C146" s="205"/>
      <c r="D146" s="205"/>
      <c r="E146" s="205"/>
      <c r="F146" s="205"/>
      <c r="G146" s="205"/>
      <c r="H146" s="205"/>
      <c r="I146" s="205"/>
    </row>
    <row r="147" spans="1:9">
      <c r="A147" s="205"/>
      <c r="B147" s="205"/>
      <c r="C147" s="205"/>
      <c r="D147" s="205"/>
      <c r="E147" s="205"/>
      <c r="F147" s="205"/>
      <c r="G147" s="205"/>
      <c r="H147" s="205"/>
      <c r="I147" s="205"/>
    </row>
    <row r="148" spans="1:9">
      <c r="A148" s="205"/>
      <c r="B148" s="205"/>
      <c r="C148" s="205"/>
      <c r="D148" s="205"/>
      <c r="E148" s="205"/>
      <c r="F148" s="205"/>
      <c r="G148" s="205"/>
      <c r="H148" s="205"/>
      <c r="I148" s="205"/>
    </row>
    <row r="149" spans="1:9">
      <c r="A149" s="205"/>
      <c r="B149" s="205"/>
      <c r="C149" s="205"/>
      <c r="D149" s="205"/>
      <c r="E149" s="205"/>
      <c r="F149" s="205"/>
      <c r="G149" s="205"/>
      <c r="H149" s="205"/>
      <c r="I149" s="205"/>
    </row>
    <row r="150" spans="1:9">
      <c r="A150" s="205"/>
      <c r="B150" s="205"/>
      <c r="C150" s="205"/>
      <c r="D150" s="205"/>
      <c r="E150" s="205"/>
      <c r="F150" s="205"/>
      <c r="G150" s="205"/>
      <c r="H150" s="205"/>
      <c r="I150" s="205"/>
    </row>
    <row r="151" spans="1:9">
      <c r="A151" s="205"/>
      <c r="B151" s="205"/>
      <c r="C151" s="205"/>
      <c r="D151" s="205"/>
      <c r="E151" s="205"/>
      <c r="F151" s="205"/>
      <c r="G151" s="205"/>
      <c r="H151" s="205"/>
      <c r="I151" s="205"/>
    </row>
    <row r="152" spans="1:9">
      <c r="A152" s="205"/>
      <c r="B152" s="205"/>
      <c r="C152" s="205"/>
      <c r="D152" s="205"/>
      <c r="E152" s="205"/>
      <c r="F152" s="205"/>
      <c r="G152" s="205"/>
      <c r="H152" s="205"/>
      <c r="I152" s="205"/>
    </row>
    <row r="153" spans="1:9">
      <c r="A153" s="205"/>
      <c r="B153" s="205"/>
      <c r="C153" s="205"/>
      <c r="D153" s="205"/>
      <c r="E153" s="205"/>
      <c r="F153" s="205"/>
      <c r="G153" s="205"/>
      <c r="H153" s="205"/>
      <c r="I153" s="205"/>
    </row>
    <row r="154" spans="1:9">
      <c r="A154" s="205"/>
      <c r="B154" s="205"/>
      <c r="C154" s="205"/>
      <c r="D154" s="205"/>
      <c r="E154" s="205"/>
      <c r="F154" s="205"/>
      <c r="G154" s="205"/>
      <c r="H154" s="205"/>
      <c r="I154" s="205"/>
    </row>
    <row r="155" spans="1:9">
      <c r="A155" s="205"/>
      <c r="B155" s="205"/>
      <c r="C155" s="205"/>
      <c r="D155" s="205"/>
      <c r="E155" s="205"/>
      <c r="F155" s="205"/>
      <c r="G155" s="205"/>
      <c r="H155" s="205"/>
      <c r="I155" s="205"/>
    </row>
    <row r="156" spans="1:9">
      <c r="A156" s="205"/>
      <c r="B156" s="205"/>
      <c r="C156" s="205"/>
      <c r="D156" s="205"/>
      <c r="E156" s="205"/>
      <c r="F156" s="205"/>
      <c r="G156" s="205"/>
      <c r="H156" s="205"/>
      <c r="I156" s="205"/>
    </row>
    <row r="157" spans="1:9">
      <c r="A157" s="205"/>
      <c r="B157" s="205"/>
      <c r="C157" s="205"/>
      <c r="D157" s="205"/>
      <c r="E157" s="205"/>
      <c r="F157" s="205"/>
      <c r="G157" s="205"/>
      <c r="H157" s="205"/>
      <c r="I157" s="205"/>
    </row>
    <row r="158" spans="1:9">
      <c r="A158" s="205"/>
      <c r="B158" s="205"/>
      <c r="C158" s="205"/>
      <c r="D158" s="205"/>
      <c r="E158" s="205"/>
      <c r="F158" s="205"/>
      <c r="G158" s="205"/>
      <c r="H158" s="205"/>
      <c r="I158" s="205"/>
    </row>
    <row r="159" spans="1:9">
      <c r="A159" s="205"/>
      <c r="B159" s="205"/>
      <c r="C159" s="205"/>
      <c r="D159" s="205"/>
      <c r="E159" s="205"/>
      <c r="F159" s="205"/>
      <c r="G159" s="205"/>
      <c r="H159" s="205"/>
      <c r="I159" s="205"/>
    </row>
    <row r="160" spans="1:9">
      <c r="A160" s="205"/>
      <c r="B160" s="205"/>
      <c r="C160" s="205"/>
      <c r="D160" s="205"/>
      <c r="E160" s="205"/>
      <c r="F160" s="205"/>
      <c r="G160" s="205"/>
      <c r="H160" s="205"/>
      <c r="I160" s="205"/>
    </row>
    <row r="161" spans="1:9">
      <c r="A161" s="205"/>
      <c r="B161" s="205"/>
      <c r="C161" s="205"/>
      <c r="D161" s="205"/>
      <c r="E161" s="205"/>
      <c r="F161" s="205"/>
      <c r="G161" s="205"/>
      <c r="H161" s="205"/>
      <c r="I161" s="205"/>
    </row>
    <row r="162" spans="1:9">
      <c r="A162" s="205"/>
      <c r="B162" s="205"/>
      <c r="C162" s="205"/>
      <c r="D162" s="205"/>
      <c r="E162" s="205"/>
      <c r="F162" s="205"/>
      <c r="G162" s="205"/>
      <c r="H162" s="205"/>
      <c r="I162" s="205"/>
    </row>
    <row r="163" spans="1:9">
      <c r="A163" s="205"/>
      <c r="B163" s="205"/>
      <c r="C163" s="205"/>
      <c r="D163" s="205"/>
      <c r="E163" s="205"/>
      <c r="F163" s="205"/>
      <c r="G163" s="205"/>
      <c r="H163" s="205"/>
      <c r="I163" s="205"/>
    </row>
    <row r="164" spans="1:9">
      <c r="A164" s="205"/>
      <c r="B164" s="205"/>
      <c r="C164" s="205"/>
      <c r="D164" s="205"/>
      <c r="E164" s="205"/>
      <c r="F164" s="205"/>
      <c r="G164" s="205"/>
      <c r="H164" s="205"/>
      <c r="I164" s="205"/>
    </row>
    <row r="165" spans="1:9">
      <c r="A165" s="205"/>
      <c r="B165" s="205"/>
      <c r="C165" s="205"/>
      <c r="D165" s="205"/>
      <c r="E165" s="205"/>
      <c r="F165" s="205"/>
      <c r="G165" s="205"/>
      <c r="H165" s="205"/>
      <c r="I165" s="205"/>
    </row>
    <row r="166" spans="1:9">
      <c r="A166" s="205"/>
      <c r="B166" s="205"/>
      <c r="C166" s="205"/>
      <c r="D166" s="205"/>
      <c r="E166" s="205"/>
      <c r="F166" s="205"/>
      <c r="G166" s="205"/>
      <c r="H166" s="205"/>
      <c r="I166" s="205"/>
    </row>
    <row r="167" spans="1:9">
      <c r="A167" s="205"/>
      <c r="B167" s="205"/>
      <c r="C167" s="205"/>
      <c r="D167" s="205"/>
      <c r="E167" s="205"/>
      <c r="F167" s="205"/>
      <c r="G167" s="205"/>
      <c r="H167" s="205"/>
      <c r="I167" s="205"/>
    </row>
    <row r="168" spans="1:9">
      <c r="A168" s="205"/>
      <c r="B168" s="205"/>
      <c r="C168" s="205"/>
      <c r="D168" s="205"/>
      <c r="E168" s="205"/>
      <c r="F168" s="205"/>
      <c r="G168" s="205"/>
      <c r="H168" s="205"/>
      <c r="I168" s="205"/>
    </row>
    <row r="169" spans="1:9">
      <c r="A169" s="205"/>
      <c r="B169" s="205"/>
      <c r="C169" s="205"/>
      <c r="D169" s="205"/>
      <c r="E169" s="205"/>
      <c r="F169" s="205"/>
      <c r="G169" s="205"/>
      <c r="H169" s="205"/>
      <c r="I169" s="205"/>
    </row>
    <row r="170" spans="1:9">
      <c r="A170" s="205"/>
      <c r="B170" s="205"/>
      <c r="C170" s="205"/>
      <c r="D170" s="205"/>
      <c r="E170" s="205"/>
      <c r="F170" s="205"/>
      <c r="G170" s="205"/>
      <c r="H170" s="205"/>
      <c r="I170" s="205"/>
    </row>
    <row r="171" spans="1:9">
      <c r="A171" s="205"/>
      <c r="B171" s="205"/>
      <c r="C171" s="205"/>
      <c r="D171" s="205"/>
      <c r="E171" s="205"/>
      <c r="F171" s="205"/>
      <c r="G171" s="205"/>
      <c r="H171" s="205"/>
      <c r="I171" s="205"/>
    </row>
    <row r="172" spans="1:9">
      <c r="A172" s="205"/>
      <c r="B172" s="205"/>
      <c r="C172" s="205"/>
      <c r="D172" s="205"/>
      <c r="E172" s="205"/>
      <c r="F172" s="205"/>
      <c r="G172" s="205"/>
      <c r="H172" s="205"/>
      <c r="I172" s="205"/>
    </row>
    <row r="173" spans="1:9">
      <c r="A173" s="205"/>
      <c r="B173" s="205"/>
      <c r="C173" s="205"/>
      <c r="D173" s="205"/>
      <c r="E173" s="205"/>
      <c r="F173" s="205"/>
      <c r="G173" s="205"/>
      <c r="H173" s="205"/>
      <c r="I173" s="205"/>
    </row>
    <row r="174" spans="1:9">
      <c r="A174" s="205"/>
      <c r="B174" s="205"/>
      <c r="C174" s="205"/>
      <c r="D174" s="205"/>
      <c r="E174" s="205"/>
      <c r="F174" s="205"/>
      <c r="G174" s="205"/>
      <c r="H174" s="205"/>
      <c r="I174" s="205"/>
    </row>
    <row r="175" spans="1:9">
      <c r="A175" s="205"/>
      <c r="B175" s="205"/>
      <c r="C175" s="205"/>
      <c r="D175" s="205"/>
      <c r="E175" s="205"/>
      <c r="F175" s="205"/>
      <c r="G175" s="205"/>
      <c r="H175" s="205"/>
      <c r="I175" s="205"/>
    </row>
    <row r="176" spans="1:9">
      <c r="A176" s="205"/>
      <c r="B176" s="205"/>
      <c r="C176" s="205"/>
      <c r="D176" s="205"/>
      <c r="E176" s="205"/>
      <c r="F176" s="205"/>
      <c r="G176" s="205"/>
      <c r="H176" s="205"/>
      <c r="I176" s="205"/>
    </row>
    <row r="177" spans="1:9">
      <c r="A177" s="205"/>
      <c r="B177" s="205"/>
      <c r="C177" s="205"/>
      <c r="D177" s="205"/>
      <c r="E177" s="205"/>
      <c r="F177" s="205"/>
      <c r="G177" s="205"/>
      <c r="H177" s="205"/>
      <c r="I177" s="205"/>
    </row>
    <row r="178" spans="1:9">
      <c r="A178" s="205"/>
      <c r="B178" s="205"/>
      <c r="C178" s="205"/>
      <c r="D178" s="205"/>
      <c r="E178" s="205"/>
      <c r="F178" s="205"/>
      <c r="G178" s="205"/>
      <c r="H178" s="205"/>
      <c r="I178" s="205"/>
    </row>
    <row r="179" spans="1:9">
      <c r="A179" s="205"/>
      <c r="B179" s="205"/>
      <c r="C179" s="205"/>
      <c r="D179" s="205"/>
      <c r="E179" s="205"/>
      <c r="F179" s="205"/>
      <c r="G179" s="205"/>
      <c r="H179" s="205"/>
      <c r="I179" s="205"/>
    </row>
    <row r="180" spans="1:9">
      <c r="A180" s="205"/>
      <c r="B180" s="205"/>
      <c r="C180" s="205"/>
      <c r="D180" s="205"/>
      <c r="E180" s="205"/>
      <c r="F180" s="205"/>
      <c r="G180" s="205"/>
      <c r="H180" s="205"/>
      <c r="I180" s="205"/>
    </row>
    <row r="181" spans="1:9">
      <c r="A181" s="205"/>
      <c r="B181" s="205"/>
      <c r="C181" s="205"/>
      <c r="D181" s="205"/>
      <c r="E181" s="205"/>
      <c r="F181" s="205"/>
      <c r="G181" s="205"/>
      <c r="H181" s="205"/>
      <c r="I181" s="205"/>
    </row>
    <row r="182" spans="1:9">
      <c r="A182" s="205"/>
      <c r="B182" s="205"/>
      <c r="C182" s="205"/>
      <c r="D182" s="205"/>
      <c r="E182" s="205"/>
      <c r="F182" s="205"/>
      <c r="G182" s="205"/>
      <c r="H182" s="205"/>
      <c r="I182" s="205"/>
    </row>
    <row r="183" spans="1:9">
      <c r="A183" s="205"/>
      <c r="B183" s="205"/>
      <c r="C183" s="205"/>
      <c r="D183" s="205"/>
      <c r="E183" s="205"/>
      <c r="F183" s="205"/>
      <c r="G183" s="205"/>
      <c r="H183" s="205"/>
      <c r="I183" s="205"/>
    </row>
    <row r="184" spans="1:9">
      <c r="A184" s="205"/>
      <c r="B184" s="205"/>
      <c r="C184" s="205"/>
      <c r="D184" s="205"/>
      <c r="E184" s="205"/>
      <c r="F184" s="205"/>
      <c r="G184" s="205"/>
      <c r="H184" s="205"/>
      <c r="I184" s="205"/>
    </row>
    <row r="185" spans="1:9">
      <c r="A185" s="205"/>
      <c r="B185" s="205"/>
      <c r="C185" s="205"/>
      <c r="D185" s="205"/>
      <c r="E185" s="205"/>
      <c r="F185" s="205"/>
      <c r="G185" s="205"/>
      <c r="H185" s="205"/>
      <c r="I185" s="205"/>
    </row>
    <row r="186" spans="1:9">
      <c r="A186" s="205"/>
      <c r="B186" s="205"/>
      <c r="C186" s="205"/>
      <c r="D186" s="205"/>
      <c r="E186" s="205"/>
      <c r="F186" s="205"/>
      <c r="G186" s="205"/>
      <c r="H186" s="205"/>
      <c r="I186" s="205"/>
    </row>
    <row r="187" spans="1:9">
      <c r="A187" s="205"/>
      <c r="B187" s="205"/>
      <c r="C187" s="205"/>
      <c r="D187" s="205"/>
      <c r="E187" s="205"/>
      <c r="F187" s="205"/>
      <c r="G187" s="205"/>
      <c r="H187" s="205"/>
      <c r="I187" s="205"/>
    </row>
    <row r="188" spans="1:9">
      <c r="A188" s="205"/>
      <c r="B188" s="205"/>
      <c r="C188" s="205"/>
      <c r="D188" s="205"/>
      <c r="E188" s="205"/>
      <c r="F188" s="205"/>
      <c r="G188" s="205"/>
      <c r="H188" s="205"/>
      <c r="I188" s="205"/>
    </row>
    <row r="189" spans="1:9">
      <c r="A189" s="205"/>
      <c r="B189" s="205"/>
      <c r="C189" s="205"/>
      <c r="D189" s="205"/>
      <c r="E189" s="205"/>
      <c r="F189" s="205"/>
      <c r="G189" s="205"/>
      <c r="H189" s="205"/>
      <c r="I189" s="205"/>
    </row>
    <row r="190" spans="1:9">
      <c r="A190" s="205"/>
      <c r="B190" s="205"/>
      <c r="C190" s="205"/>
      <c r="D190" s="205"/>
      <c r="E190" s="205"/>
      <c r="F190" s="205"/>
      <c r="G190" s="205"/>
      <c r="H190" s="205"/>
      <c r="I190" s="205"/>
    </row>
    <row r="191" spans="1:9">
      <c r="A191" s="205"/>
      <c r="B191" s="205"/>
      <c r="C191" s="205"/>
      <c r="D191" s="205"/>
      <c r="E191" s="205"/>
      <c r="F191" s="205"/>
      <c r="G191" s="205"/>
      <c r="H191" s="205"/>
      <c r="I191" s="205"/>
    </row>
    <row r="192" spans="1:9">
      <c r="A192" s="205"/>
      <c r="B192" s="205"/>
      <c r="C192" s="205"/>
      <c r="D192" s="205"/>
      <c r="E192" s="205"/>
      <c r="F192" s="205"/>
      <c r="G192" s="205"/>
      <c r="H192" s="205"/>
      <c r="I192" s="205"/>
    </row>
    <row r="193" spans="1:9">
      <c r="A193" s="205"/>
      <c r="B193" s="205"/>
      <c r="C193" s="205"/>
      <c r="D193" s="205"/>
      <c r="E193" s="205"/>
      <c r="F193" s="205"/>
      <c r="G193" s="205"/>
      <c r="H193" s="205"/>
      <c r="I193" s="205"/>
    </row>
    <row r="194" spans="1:9">
      <c r="A194" s="205"/>
      <c r="B194" s="205"/>
      <c r="C194" s="205"/>
      <c r="D194" s="205"/>
      <c r="E194" s="205"/>
      <c r="F194" s="205"/>
      <c r="G194" s="205"/>
      <c r="H194" s="205"/>
      <c r="I194" s="205"/>
    </row>
    <row r="195" spans="1:9">
      <c r="A195" s="205"/>
      <c r="B195" s="205"/>
      <c r="C195" s="205"/>
      <c r="D195" s="205"/>
      <c r="E195" s="205"/>
      <c r="F195" s="205"/>
      <c r="G195" s="205"/>
      <c r="H195" s="205"/>
      <c r="I195" s="205"/>
    </row>
    <row r="196" spans="1:9">
      <c r="A196" s="205"/>
      <c r="B196" s="205"/>
      <c r="C196" s="205"/>
      <c r="D196" s="205"/>
      <c r="E196" s="205"/>
      <c r="F196" s="205"/>
      <c r="G196" s="205"/>
      <c r="H196" s="205"/>
      <c r="I196" s="205"/>
    </row>
    <row r="197" spans="1:9">
      <c r="A197" s="205"/>
      <c r="B197" s="205"/>
      <c r="C197" s="205"/>
      <c r="D197" s="205"/>
      <c r="E197" s="205"/>
      <c r="F197" s="205"/>
      <c r="G197" s="205"/>
      <c r="H197" s="205"/>
      <c r="I197" s="205"/>
    </row>
    <row r="198" spans="1:9">
      <c r="A198" s="205"/>
      <c r="B198" s="205"/>
      <c r="C198" s="205"/>
      <c r="D198" s="205"/>
      <c r="E198" s="205"/>
      <c r="F198" s="205"/>
      <c r="G198" s="205"/>
      <c r="H198" s="205"/>
      <c r="I198" s="205"/>
    </row>
    <row r="199" spans="1:9">
      <c r="A199" s="205"/>
      <c r="B199" s="205"/>
      <c r="C199" s="205"/>
      <c r="D199" s="205"/>
      <c r="E199" s="205"/>
      <c r="F199" s="205"/>
      <c r="G199" s="205"/>
      <c r="H199" s="205"/>
      <c r="I199" s="205"/>
    </row>
    <row r="200" spans="1:9">
      <c r="A200" s="205"/>
      <c r="B200" s="205"/>
      <c r="C200" s="205"/>
      <c r="D200" s="205"/>
      <c r="E200" s="205"/>
      <c r="F200" s="205"/>
      <c r="G200" s="205"/>
      <c r="H200" s="205"/>
      <c r="I200" s="205"/>
    </row>
    <row r="201" spans="1:9">
      <c r="A201" s="205"/>
      <c r="B201" s="205"/>
      <c r="C201" s="205"/>
      <c r="D201" s="205"/>
      <c r="E201" s="205"/>
      <c r="F201" s="205"/>
      <c r="G201" s="205"/>
      <c r="H201" s="205"/>
      <c r="I201" s="205"/>
    </row>
    <row r="202" spans="1:9">
      <c r="A202" s="205"/>
      <c r="B202" s="205"/>
      <c r="C202" s="205"/>
      <c r="D202" s="205"/>
      <c r="E202" s="205"/>
      <c r="F202" s="205"/>
      <c r="G202" s="205"/>
      <c r="H202" s="205"/>
      <c r="I202" s="205"/>
    </row>
    <row r="203" spans="1:9">
      <c r="A203" s="205"/>
      <c r="B203" s="205"/>
      <c r="C203" s="205"/>
      <c r="D203" s="205"/>
      <c r="E203" s="205"/>
      <c r="F203" s="205"/>
      <c r="G203" s="205"/>
      <c r="H203" s="205"/>
      <c r="I203" s="205"/>
    </row>
    <row r="204" spans="1:9">
      <c r="A204" s="205"/>
      <c r="B204" s="205"/>
      <c r="C204" s="205"/>
      <c r="D204" s="205"/>
      <c r="E204" s="205"/>
      <c r="F204" s="205"/>
      <c r="G204" s="205"/>
      <c r="H204" s="205"/>
      <c r="I204" s="205"/>
    </row>
    <row r="205" spans="1:9">
      <c r="A205" s="205"/>
      <c r="B205" s="205"/>
      <c r="C205" s="205"/>
      <c r="D205" s="205"/>
      <c r="E205" s="205"/>
      <c r="F205" s="205"/>
      <c r="G205" s="205"/>
      <c r="H205" s="205"/>
      <c r="I205" s="205"/>
    </row>
    <row r="206" spans="1:9">
      <c r="A206" s="205"/>
      <c r="B206" s="205"/>
      <c r="C206" s="205"/>
      <c r="D206" s="205"/>
      <c r="E206" s="205"/>
      <c r="F206" s="205"/>
      <c r="G206" s="205"/>
      <c r="H206" s="205"/>
      <c r="I206" s="205"/>
    </row>
    <row r="207" spans="1:9">
      <c r="A207" s="205"/>
      <c r="B207" s="205"/>
      <c r="C207" s="205"/>
      <c r="D207" s="205"/>
      <c r="E207" s="205"/>
      <c r="F207" s="205"/>
      <c r="G207" s="205"/>
      <c r="H207" s="205"/>
      <c r="I207" s="205"/>
    </row>
    <row r="208" spans="1:9">
      <c r="A208" s="205"/>
      <c r="B208" s="205"/>
      <c r="C208" s="205"/>
      <c r="D208" s="205"/>
      <c r="E208" s="205"/>
      <c r="F208" s="205"/>
      <c r="G208" s="205"/>
      <c r="H208" s="205"/>
      <c r="I208" s="205"/>
    </row>
    <row r="209" spans="1:9">
      <c r="A209" s="205"/>
      <c r="B209" s="205"/>
      <c r="C209" s="205"/>
      <c r="D209" s="205"/>
      <c r="E209" s="205"/>
      <c r="F209" s="205"/>
      <c r="G209" s="205"/>
      <c r="H209" s="205"/>
      <c r="I209" s="205"/>
    </row>
    <row r="210" spans="1:9">
      <c r="A210" s="205"/>
      <c r="B210" s="205"/>
      <c r="C210" s="205"/>
      <c r="D210" s="205"/>
      <c r="E210" s="205"/>
      <c r="F210" s="205"/>
      <c r="G210" s="205"/>
      <c r="H210" s="205"/>
      <c r="I210" s="205"/>
    </row>
    <row r="211" spans="1:9">
      <c r="A211" s="205"/>
      <c r="B211" s="205"/>
      <c r="C211" s="205"/>
      <c r="D211" s="205"/>
      <c r="E211" s="205"/>
      <c r="F211" s="205"/>
      <c r="G211" s="205"/>
      <c r="H211" s="205"/>
      <c r="I211" s="205"/>
    </row>
    <row r="212" spans="1:9">
      <c r="A212" s="205"/>
      <c r="B212" s="205"/>
      <c r="C212" s="205"/>
      <c r="D212" s="205"/>
      <c r="E212" s="205"/>
      <c r="F212" s="205"/>
      <c r="G212" s="205"/>
      <c r="H212" s="205"/>
      <c r="I212" s="205"/>
    </row>
    <row r="213" spans="1:9">
      <c r="A213" s="205"/>
      <c r="B213" s="205"/>
      <c r="C213" s="205"/>
      <c r="D213" s="205"/>
      <c r="E213" s="205"/>
      <c r="F213" s="205"/>
      <c r="G213" s="205"/>
      <c r="H213" s="205"/>
      <c r="I213" s="205"/>
    </row>
    <row r="214" spans="1:9">
      <c r="A214" s="205"/>
      <c r="B214" s="205"/>
      <c r="C214" s="205"/>
      <c r="D214" s="205"/>
      <c r="E214" s="205"/>
      <c r="F214" s="205"/>
      <c r="G214" s="205"/>
      <c r="H214" s="205"/>
      <c r="I214" s="205"/>
    </row>
    <row r="215" spans="1:9">
      <c r="A215" s="205"/>
      <c r="B215" s="205"/>
      <c r="C215" s="205"/>
      <c r="D215" s="205"/>
      <c r="E215" s="205"/>
      <c r="F215" s="205"/>
      <c r="G215" s="205"/>
      <c r="H215" s="205"/>
      <c r="I215" s="205"/>
    </row>
    <row r="216" spans="1:9">
      <c r="A216" s="205"/>
      <c r="B216" s="205"/>
      <c r="C216" s="205"/>
      <c r="D216" s="205"/>
      <c r="E216" s="205"/>
      <c r="F216" s="205"/>
      <c r="G216" s="205"/>
      <c r="H216" s="205"/>
      <c r="I216" s="205"/>
    </row>
    <row r="217" spans="1:9">
      <c r="A217" s="205"/>
      <c r="B217" s="205"/>
      <c r="C217" s="205"/>
      <c r="D217" s="205"/>
      <c r="E217" s="205"/>
      <c r="F217" s="205"/>
      <c r="G217" s="205"/>
      <c r="H217" s="205"/>
      <c r="I217" s="205"/>
    </row>
    <row r="218" spans="1:9">
      <c r="A218" s="205"/>
      <c r="B218" s="205"/>
      <c r="C218" s="205"/>
      <c r="D218" s="205"/>
      <c r="E218" s="205"/>
      <c r="F218" s="205"/>
      <c r="G218" s="205"/>
      <c r="H218" s="205"/>
      <c r="I218" s="205"/>
    </row>
    <row r="219" spans="1:9">
      <c r="A219" s="205"/>
      <c r="B219" s="205"/>
      <c r="C219" s="205"/>
      <c r="D219" s="205"/>
      <c r="E219" s="205"/>
      <c r="F219" s="205"/>
      <c r="G219" s="205"/>
      <c r="H219" s="205"/>
      <c r="I219" s="205"/>
    </row>
    <row r="220" spans="1:9">
      <c r="A220" s="205"/>
      <c r="B220" s="205"/>
      <c r="C220" s="205"/>
      <c r="D220" s="205"/>
      <c r="E220" s="205"/>
      <c r="F220" s="205"/>
      <c r="G220" s="205"/>
      <c r="H220" s="205"/>
      <c r="I220" s="205"/>
    </row>
    <row r="221" spans="1:9">
      <c r="A221" s="205"/>
      <c r="B221" s="205"/>
      <c r="C221" s="205"/>
      <c r="D221" s="205"/>
      <c r="E221" s="205"/>
      <c r="F221" s="205"/>
      <c r="G221" s="205"/>
      <c r="H221" s="205"/>
      <c r="I221" s="205"/>
    </row>
    <row r="222" spans="1:9">
      <c r="A222" s="205"/>
      <c r="B222" s="205"/>
      <c r="C222" s="205"/>
      <c r="D222" s="205"/>
      <c r="E222" s="205"/>
      <c r="F222" s="205"/>
      <c r="G222" s="205"/>
      <c r="H222" s="205"/>
      <c r="I222" s="205"/>
    </row>
    <row r="223" spans="1:9">
      <c r="A223" s="205"/>
      <c r="B223" s="205"/>
      <c r="C223" s="205"/>
      <c r="D223" s="205"/>
      <c r="E223" s="205"/>
      <c r="F223" s="205"/>
      <c r="G223" s="205"/>
      <c r="H223" s="205"/>
      <c r="I223" s="205"/>
    </row>
    <row r="224" spans="1:9">
      <c r="A224" s="205"/>
      <c r="B224" s="205"/>
      <c r="C224" s="205"/>
      <c r="D224" s="205"/>
      <c r="E224" s="205"/>
      <c r="F224" s="205"/>
      <c r="G224" s="205"/>
      <c r="H224" s="205"/>
      <c r="I224" s="205"/>
    </row>
    <row r="225" spans="1:9">
      <c r="A225" s="205"/>
      <c r="B225" s="205"/>
      <c r="C225" s="205"/>
      <c r="D225" s="205"/>
      <c r="E225" s="205"/>
      <c r="F225" s="205"/>
      <c r="G225" s="205"/>
      <c r="H225" s="205"/>
      <c r="I225" s="205"/>
    </row>
    <row r="226" spans="1:9">
      <c r="A226" s="205"/>
      <c r="B226" s="205"/>
      <c r="C226" s="205"/>
      <c r="D226" s="205"/>
      <c r="E226" s="205"/>
      <c r="F226" s="205"/>
      <c r="G226" s="205"/>
      <c r="H226" s="205"/>
      <c r="I226" s="205"/>
    </row>
    <row r="227" spans="1:9">
      <c r="A227" s="205"/>
      <c r="B227" s="205"/>
      <c r="C227" s="205"/>
      <c r="D227" s="205"/>
      <c r="E227" s="205"/>
      <c r="F227" s="205"/>
      <c r="G227" s="205"/>
      <c r="H227" s="205"/>
      <c r="I227" s="205"/>
    </row>
    <row r="228" spans="1:9">
      <c r="A228" s="205"/>
      <c r="B228" s="205"/>
      <c r="C228" s="205"/>
      <c r="D228" s="205"/>
      <c r="E228" s="205"/>
      <c r="F228" s="205"/>
      <c r="G228" s="205"/>
      <c r="H228" s="205"/>
      <c r="I228" s="205"/>
    </row>
    <row r="229" spans="1:9">
      <c r="A229" s="205"/>
      <c r="B229" s="205"/>
      <c r="C229" s="205"/>
      <c r="D229" s="205"/>
      <c r="E229" s="205"/>
      <c r="F229" s="205"/>
      <c r="G229" s="205"/>
      <c r="H229" s="205"/>
      <c r="I229" s="205"/>
    </row>
    <row r="230" spans="1:9">
      <c r="A230" s="205"/>
      <c r="B230" s="205"/>
      <c r="C230" s="205"/>
      <c r="D230" s="205"/>
      <c r="E230" s="205"/>
      <c r="F230" s="205"/>
      <c r="G230" s="205"/>
      <c r="H230" s="205"/>
      <c r="I230" s="205"/>
    </row>
    <row r="231" spans="1:9">
      <c r="A231" s="205"/>
      <c r="B231" s="205"/>
      <c r="C231" s="205"/>
      <c r="D231" s="205"/>
      <c r="E231" s="205"/>
      <c r="F231" s="205"/>
      <c r="G231" s="205"/>
      <c r="H231" s="205"/>
      <c r="I231" s="205"/>
    </row>
    <row r="232" spans="1:9">
      <c r="A232" s="205"/>
      <c r="B232" s="205"/>
      <c r="C232" s="205"/>
      <c r="D232" s="205"/>
      <c r="E232" s="205"/>
      <c r="F232" s="205"/>
      <c r="G232" s="205"/>
      <c r="H232" s="205"/>
      <c r="I232" s="205"/>
    </row>
    <row r="233" spans="1:9">
      <c r="A233" s="205"/>
      <c r="B233" s="205"/>
      <c r="C233" s="205"/>
      <c r="D233" s="205"/>
      <c r="E233" s="205"/>
      <c r="F233" s="205"/>
      <c r="G233" s="205"/>
      <c r="H233" s="205"/>
      <c r="I233" s="205"/>
    </row>
    <row r="234" spans="1:9">
      <c r="A234" s="205"/>
      <c r="B234" s="205"/>
      <c r="C234" s="205"/>
      <c r="D234" s="205"/>
      <c r="E234" s="205"/>
      <c r="F234" s="205"/>
      <c r="G234" s="205"/>
      <c r="H234" s="205"/>
      <c r="I234" s="205"/>
    </row>
    <row r="235" spans="1:9">
      <c r="A235" s="205"/>
      <c r="B235" s="205"/>
      <c r="C235" s="205"/>
      <c r="D235" s="205"/>
      <c r="E235" s="205"/>
      <c r="F235" s="205"/>
      <c r="G235" s="205"/>
      <c r="H235" s="205"/>
      <c r="I235" s="205"/>
    </row>
    <row r="236" spans="1:9">
      <c r="A236" s="205"/>
      <c r="B236" s="205"/>
      <c r="C236" s="205"/>
      <c r="D236" s="205"/>
      <c r="E236" s="205"/>
      <c r="F236" s="205"/>
      <c r="G236" s="205"/>
      <c r="H236" s="205"/>
      <c r="I236" s="205"/>
    </row>
    <row r="237" spans="1:9">
      <c r="A237" s="205"/>
      <c r="B237" s="205"/>
      <c r="C237" s="205"/>
      <c r="D237" s="205"/>
      <c r="E237" s="205"/>
      <c r="F237" s="205"/>
      <c r="G237" s="205"/>
      <c r="H237" s="205"/>
      <c r="I237" s="205"/>
    </row>
    <row r="238" spans="1:9">
      <c r="A238" s="205"/>
      <c r="B238" s="205"/>
      <c r="C238" s="205"/>
      <c r="D238" s="205"/>
      <c r="E238" s="205"/>
      <c r="F238" s="205"/>
      <c r="G238" s="205"/>
      <c r="H238" s="205"/>
      <c r="I238" s="205"/>
    </row>
    <row r="239" spans="1:9">
      <c r="A239" s="205"/>
      <c r="B239" s="205"/>
      <c r="C239" s="205"/>
      <c r="D239" s="205"/>
      <c r="E239" s="205"/>
      <c r="F239" s="205"/>
      <c r="G239" s="205"/>
      <c r="H239" s="205"/>
      <c r="I239" s="205"/>
    </row>
    <row r="240" spans="1:9">
      <c r="A240" s="205"/>
      <c r="B240" s="205"/>
      <c r="C240" s="205"/>
      <c r="D240" s="205"/>
      <c r="E240" s="205"/>
      <c r="F240" s="205"/>
      <c r="G240" s="205"/>
      <c r="H240" s="205"/>
      <c r="I240" s="205"/>
    </row>
    <row r="241" spans="1:9">
      <c r="A241" s="205"/>
      <c r="B241" s="205"/>
      <c r="C241" s="205"/>
      <c r="D241" s="205"/>
      <c r="E241" s="205"/>
      <c r="F241" s="205"/>
      <c r="G241" s="205"/>
      <c r="H241" s="205"/>
      <c r="I241" s="205"/>
    </row>
    <row r="242" spans="1:9">
      <c r="A242" s="205"/>
      <c r="B242" s="205"/>
      <c r="C242" s="205"/>
      <c r="D242" s="205"/>
      <c r="E242" s="205"/>
      <c r="F242" s="205"/>
      <c r="G242" s="205"/>
      <c r="H242" s="205"/>
      <c r="I242" s="205"/>
    </row>
    <row r="243" spans="1:9">
      <c r="A243" s="205"/>
      <c r="B243" s="205"/>
      <c r="C243" s="205"/>
      <c r="D243" s="205"/>
      <c r="E243" s="205"/>
      <c r="F243" s="205"/>
      <c r="G243" s="205"/>
      <c r="H243" s="205"/>
      <c r="I243" s="205"/>
    </row>
    <row r="244" spans="1:9">
      <c r="A244" s="205"/>
      <c r="B244" s="205"/>
      <c r="C244" s="205"/>
      <c r="D244" s="205"/>
      <c r="E244" s="205"/>
      <c r="F244" s="205"/>
      <c r="G244" s="205"/>
      <c r="H244" s="205"/>
      <c r="I244" s="205"/>
    </row>
    <row r="245" spans="1:9">
      <c r="A245" s="205"/>
      <c r="B245" s="205"/>
      <c r="C245" s="205"/>
      <c r="D245" s="205"/>
      <c r="E245" s="205"/>
      <c r="F245" s="205"/>
      <c r="G245" s="205"/>
      <c r="H245" s="205"/>
      <c r="I245" s="205"/>
    </row>
    <row r="246" spans="1:9">
      <c r="A246" s="205"/>
      <c r="B246" s="205"/>
      <c r="C246" s="205"/>
      <c r="D246" s="205"/>
      <c r="E246" s="205"/>
      <c r="F246" s="205"/>
      <c r="G246" s="205"/>
      <c r="H246" s="205"/>
      <c r="I246" s="205"/>
    </row>
    <row r="247" spans="1:9">
      <c r="A247" s="205"/>
      <c r="B247" s="205"/>
      <c r="C247" s="205"/>
      <c r="D247" s="205"/>
      <c r="E247" s="205"/>
      <c r="F247" s="205"/>
      <c r="G247" s="205"/>
      <c r="H247" s="205"/>
      <c r="I247" s="205"/>
    </row>
  </sheetData>
  <mergeCells count="9">
    <mergeCell ref="C12:F12"/>
    <mergeCell ref="C13:F13"/>
    <mergeCell ref="C14:F14"/>
    <mergeCell ref="C15:F15"/>
    <mergeCell ref="B3:F3"/>
    <mergeCell ref="B7:F7"/>
    <mergeCell ref="C9:F9"/>
    <mergeCell ref="C10:F10"/>
    <mergeCell ref="C11:F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02"/>
  <sheetViews>
    <sheetView showGridLines="0" topLeftCell="B74" zoomScale="60" zoomScaleNormal="60" workbookViewId="0">
      <selection activeCell="S80" sqref="S80"/>
    </sheetView>
  </sheetViews>
  <sheetFormatPr baseColWidth="10" defaultColWidth="11.44140625" defaultRowHeight="14.4"/>
  <cols>
    <col min="2" max="2" width="35" customWidth="1"/>
    <col min="3" max="5" width="30.6640625" customWidth="1"/>
    <col min="6" max="6" width="26.109375" customWidth="1"/>
    <col min="7" max="7" width="25.33203125" customWidth="1"/>
    <col min="8" max="8" width="13.6640625" customWidth="1"/>
  </cols>
  <sheetData>
    <row r="3" spans="2:6">
      <c r="B3" s="45" t="s">
        <v>209</v>
      </c>
    </row>
    <row r="6" spans="2:6">
      <c r="B6" s="384" t="s">
        <v>210</v>
      </c>
      <c r="C6" s="384"/>
      <c r="D6" s="384"/>
      <c r="E6" s="384"/>
    </row>
    <row r="7" spans="2:6">
      <c r="B7" s="19"/>
      <c r="C7" s="19"/>
      <c r="D7" s="3"/>
      <c r="E7" s="19"/>
    </row>
    <row r="8" spans="2:6" ht="41.4" customHeight="1">
      <c r="B8" s="237" t="s">
        <v>23</v>
      </c>
      <c r="C8" s="238">
        <f>'Choix années'!C4</f>
        <v>2019</v>
      </c>
      <c r="D8" s="238">
        <f>'Choix années'!C5</f>
        <v>2030</v>
      </c>
      <c r="E8" s="4"/>
      <c r="F8" s="4"/>
    </row>
    <row r="9" spans="2:6" ht="36.450000000000003" customHeight="1">
      <c r="B9" s="235" t="s">
        <v>212</v>
      </c>
      <c r="C9" s="247">
        <f>SUM(C13,C25,C29,C33,C41,C45,C53,C65,C69)</f>
        <v>79.778832154130399</v>
      </c>
      <c r="D9" s="247">
        <f>SUM(D13,D25,D29,D33,D41,D45,D53,D65,D69)</f>
        <v>45.153535255124503</v>
      </c>
      <c r="E9" s="5"/>
      <c r="F9" s="5"/>
    </row>
    <row r="10" spans="2:6" ht="30" customHeight="1">
      <c r="B10" s="249" t="str">
        <f>"% de baisse vs "&amp;TEXT($C$8,"#")</f>
        <v>% de baisse vs 2019</v>
      </c>
      <c r="C10" s="235"/>
      <c r="D10" s="240">
        <f>1-(D9/C9)</f>
        <v>0.4340160912873583</v>
      </c>
    </row>
    <row r="11" spans="2:6" ht="30" customHeight="1">
      <c r="B11" s="209" t="str">
        <f>"Variation annuelle moyenne entre " &amp;TEXT($D$8,"#")&amp;" et "&amp;TEXT($C$8,"#")&amp;" "</f>
        <v xml:space="preserve">Variation annuelle moyenne entre 2030 et 2019 </v>
      </c>
      <c r="C11" s="235"/>
      <c r="D11" s="240">
        <f>((D9/C9)^(1/($D$8-$C$8))-1)</f>
        <v>-5.042855995298845E-2</v>
      </c>
    </row>
    <row r="12" spans="2:6" ht="28.2" customHeight="1">
      <c r="B12" s="215" t="s">
        <v>120</v>
      </c>
      <c r="C12" s="216"/>
      <c r="D12" s="217"/>
    </row>
    <row r="13" spans="2:6" ht="22.95" customHeight="1">
      <c r="B13" s="216" t="s">
        <v>212</v>
      </c>
      <c r="C13" s="218">
        <f>VLOOKUP($B$12,'Résultats détaillés GES'!$A$38:$AP$54,MATCH(C$8,'Résultats détaillés GES'!$A$38:$AP$38),FALSE)</f>
        <v>19.949164849166994</v>
      </c>
      <c r="D13" s="218">
        <f>VLOOKUP($B$12,'Résultats détaillés GES'!$A$38:$AP$54,MATCH(D$8,'Résultats détaillés GES'!$A$38:$AP$38),FALSE)</f>
        <v>11.539152110136889</v>
      </c>
      <c r="E13" s="5"/>
      <c r="F13" s="5"/>
    </row>
    <row r="14" spans="2:6" ht="22.95" customHeight="1">
      <c r="B14" s="216" t="str">
        <f>"% de baisse vs "&amp;TEXT($C$8,"#")</f>
        <v>% de baisse vs 2019</v>
      </c>
      <c r="C14" s="219"/>
      <c r="D14" s="220">
        <f>1-(D13/C13)</f>
        <v>0.42157217119699508</v>
      </c>
    </row>
    <row r="15" spans="2:6" ht="25.95" customHeight="1">
      <c r="B15" s="221" t="str">
        <f>"Variation annuelle moyenne entre " &amp;TEXT($D$8,"#")&amp;" et "&amp;TEXT($C$8,"#")&amp;" "</f>
        <v xml:space="preserve">Variation annuelle moyenne entre 2030 et 2019 </v>
      </c>
      <c r="C15" s="219"/>
      <c r="D15" s="220">
        <f>((D13/C13)^(1/($D$8-$C$8))-1)</f>
        <v>-4.8549302093709557E-2</v>
      </c>
    </row>
    <row r="16" spans="2:6" ht="25.95" customHeight="1">
      <c r="B16" s="250" t="s">
        <v>326</v>
      </c>
      <c r="C16" s="230"/>
      <c r="D16" s="251"/>
      <c r="E16" s="291" t="s">
        <v>36</v>
      </c>
    </row>
    <row r="17" spans="1:6" ht="25.95" customHeight="1">
      <c r="B17" s="231" t="s">
        <v>212</v>
      </c>
      <c r="C17" s="252">
        <v>4.6801559493755596</v>
      </c>
      <c r="D17" s="252">
        <v>2.1415652393455749</v>
      </c>
    </row>
    <row r="18" spans="1:6" ht="25.95" customHeight="1">
      <c r="B18" s="230" t="str">
        <f>"% de baisse vs "&amp;TEXT($C$8,"#")</f>
        <v>% de baisse vs 2019</v>
      </c>
      <c r="C18" s="244"/>
      <c r="D18" s="253">
        <f>IFERROR(1-(D17/C17),"")</f>
        <v>0.54241583773905888</v>
      </c>
    </row>
    <row r="19" spans="1:6" ht="25.95" customHeight="1">
      <c r="B19" s="254" t="str">
        <f>"Variation annuelle moyenne entre " &amp;TEXT($D$8,"#")&amp;" et "&amp;TEXT($C$8,"#")&amp;" "</f>
        <v xml:space="preserve">Variation annuelle moyenne entre 2030 et 2019 </v>
      </c>
      <c r="C19" s="244"/>
      <c r="D19" s="255">
        <f>IFERROR(((D17/C17)^(1/($D$8-$C$8))-1),"")</f>
        <v>-6.8605378157906571E-2</v>
      </c>
    </row>
    <row r="20" spans="1:6" ht="25.95" customHeight="1">
      <c r="B20" s="250" t="s">
        <v>327</v>
      </c>
      <c r="C20" s="230"/>
      <c r="D20" s="251"/>
      <c r="E20" s="291" t="s">
        <v>36</v>
      </c>
    </row>
    <row r="21" spans="1:6" ht="25.95" customHeight="1">
      <c r="B21" s="231" t="s">
        <v>212</v>
      </c>
      <c r="C21" s="252">
        <v>2.4962507050501079</v>
      </c>
      <c r="D21" s="252">
        <v>1.9810041175817878</v>
      </c>
    </row>
    <row r="22" spans="1:6" ht="25.95" customHeight="1">
      <c r="B22" s="231" t="str">
        <f>"% de baisse vs "&amp;TEXT($C$8,"#")</f>
        <v>% de baisse vs 2019</v>
      </c>
      <c r="C22" s="244"/>
      <c r="D22" s="253">
        <f>IFERROR(1-(D21/C21),"")</f>
        <v>0.20640818905967118</v>
      </c>
    </row>
    <row r="23" spans="1:6" ht="25.95" customHeight="1">
      <c r="B23" s="254" t="str">
        <f>"Variation annuelle moyenne entre " &amp;TEXT($D$8,"#")&amp;" et "&amp;TEXT($C$8,"#")&amp;" "</f>
        <v xml:space="preserve">Variation annuelle moyenne entre 2030 et 2019 </v>
      </c>
      <c r="C23" s="244"/>
      <c r="D23" s="255">
        <f>IFERROR(((D21/C21)^(1/($D$8-$C$8))-1),"")</f>
        <v>-2.0797596726504275E-2</v>
      </c>
    </row>
    <row r="24" spans="1:6">
      <c r="B24" s="215" t="s">
        <v>27</v>
      </c>
      <c r="C24" s="216"/>
      <c r="D24" s="217"/>
    </row>
    <row r="25" spans="1:6" ht="22.95" customHeight="1">
      <c r="B25" s="216" t="s">
        <v>212</v>
      </c>
      <c r="C25" s="218">
        <f>VLOOKUP($B$24,'Résultats détaillés GES'!$A$38:$AP$54,MATCH(C$8,'Résultats détaillés GES'!$A$38:$AP$38),FALSE)</f>
        <v>3.7816428863333806</v>
      </c>
      <c r="D25" s="218">
        <f>VLOOKUP($B$24,'Résultats détaillés GES'!$A$38:$AP$54,MATCH(D$8,'Résultats détaillés GES'!$A$38:$AP$38),FALSE)</f>
        <v>1.7033968805657724</v>
      </c>
      <c r="E25" s="5"/>
      <c r="F25" s="5"/>
    </row>
    <row r="26" spans="1:6" ht="22.95" customHeight="1">
      <c r="B26" s="216" t="str">
        <f>"% de baisse vs "&amp;TEXT($C$8,"#")</f>
        <v>% de baisse vs 2019</v>
      </c>
      <c r="C26" s="222"/>
      <c r="D26" s="223">
        <f>1-(D25/C25)</f>
        <v>0.54956167682523871</v>
      </c>
    </row>
    <row r="27" spans="1:6" ht="27" customHeight="1">
      <c r="B27" s="221" t="str">
        <f>"Variation annuelle moyenne entre " &amp;TEXT($D$8,"#")&amp;" et "&amp;TEXT($C$8,"#")&amp;" "</f>
        <v xml:space="preserve">Variation annuelle moyenne entre 2030 et 2019 </v>
      </c>
      <c r="C27" s="222"/>
      <c r="D27" s="220">
        <f>((D25/C25)^(1/($D$8-$C$8))-1)</f>
        <v>-6.9937138128513876E-2</v>
      </c>
    </row>
    <row r="28" spans="1:6" ht="28.8">
      <c r="B28" s="241" t="s">
        <v>121</v>
      </c>
      <c r="C28" s="216"/>
      <c r="D28" s="216"/>
    </row>
    <row r="29" spans="1:6" ht="22.95" customHeight="1">
      <c r="B29" s="216" t="s">
        <v>212</v>
      </c>
      <c r="C29" s="218">
        <f>VLOOKUP($B$28,'Résultats détaillés GES'!$A$38:$AP$54,MATCH(C$8,'Résultats détaillés GES'!$A$38:$AP$38),FALSE)</f>
        <v>3.0241628140862624</v>
      </c>
      <c r="D29" s="218">
        <f>VLOOKUP($B$28,'Résultats détaillés GES'!$A$38:$AP$54,MATCH(D$8,'Résultats détaillés GES'!$A$38:$AP$38),FALSE)</f>
        <v>2.406036657572534</v>
      </c>
      <c r="E29" s="5"/>
      <c r="F29" s="5"/>
    </row>
    <row r="30" spans="1:6" ht="22.95" customHeight="1">
      <c r="A30" t="s">
        <v>228</v>
      </c>
      <c r="B30" s="216" t="str">
        <f>"% de baisse vs "&amp;TEXT($C$8,"#")</f>
        <v>% de baisse vs 2019</v>
      </c>
      <c r="C30" s="213"/>
      <c r="D30" s="224">
        <f>1-(D29/C29)</f>
        <v>0.20439579298923838</v>
      </c>
    </row>
    <row r="31" spans="1:6" ht="31.2" customHeight="1">
      <c r="B31" s="221" t="str">
        <f>"Variation annuelle moyenne entre " &amp;TEXT($D$8,"#")&amp;" et "&amp;TEXT($C$8,"#")&amp;" "</f>
        <v xml:space="preserve">Variation annuelle moyenne entre 2030 et 2019 </v>
      </c>
      <c r="C31" s="213"/>
      <c r="D31" s="220">
        <f>((D29/C29)^(1/($D$8-$C$8))-1)</f>
        <v>-2.0572122969256701E-2</v>
      </c>
    </row>
    <row r="32" spans="1:6">
      <c r="B32" s="215" t="s">
        <v>328</v>
      </c>
      <c r="C32" s="216"/>
      <c r="D32" s="216"/>
    </row>
    <row r="33" spans="1:8" ht="22.95" customHeight="1">
      <c r="B33" s="216" t="s">
        <v>212</v>
      </c>
      <c r="C33" s="218">
        <f>VLOOKUP($B$32,'Résultats détaillés GES'!$A$38:$AP$54,MATCH(C$8,'Résultats détaillés GES'!$A$38:$AP$38),FALSE)</f>
        <v>9.4631172950201456</v>
      </c>
      <c r="D33" s="218">
        <f>VLOOKUP($B$32,'Résultats détaillés GES'!$A$38:$AP$54,MATCH(D$8,'Résultats détaillés GES'!$A$38:$AP$38),FALSE)</f>
        <v>5.3998452313952772</v>
      </c>
      <c r="E33" s="5"/>
      <c r="F33" s="5"/>
    </row>
    <row r="34" spans="1:8" ht="22.95" customHeight="1">
      <c r="A34" t="s">
        <v>228</v>
      </c>
      <c r="B34" s="216" t="str">
        <f>"% de baisse vs "&amp;TEXT($C$8,"#")</f>
        <v>% de baisse vs 2019</v>
      </c>
      <c r="C34" s="213"/>
      <c r="D34" s="224">
        <f>1-(D33/C33)</f>
        <v>0.42937986891096847</v>
      </c>
    </row>
    <row r="35" spans="1:8" ht="30.6" customHeight="1">
      <c r="B35" s="221" t="str">
        <f>"Variation annuelle moyenne entre " &amp;TEXT($D$8,"#")&amp;" et "&amp;TEXT($C$8,"#")&amp;" "</f>
        <v xml:space="preserve">Variation annuelle moyenne entre 2030 et 2019 </v>
      </c>
      <c r="C35" s="213"/>
      <c r="D35" s="220">
        <f>((D33/C33)^(1/($D$8-$C$8))-1)</f>
        <v>-4.9724055922230281E-2</v>
      </c>
    </row>
    <row r="36" spans="1:8" ht="30.6" customHeight="1">
      <c r="B36" s="250" t="s">
        <v>329</v>
      </c>
      <c r="C36" s="230"/>
      <c r="D36" s="251"/>
      <c r="E36" s="291" t="s">
        <v>36</v>
      </c>
    </row>
    <row r="37" spans="1:8" ht="30.6" customHeight="1">
      <c r="B37" s="231" t="s">
        <v>212</v>
      </c>
      <c r="C37" s="252">
        <v>1.8250520019531249</v>
      </c>
      <c r="D37" s="252">
        <v>0.54809997558593748</v>
      </c>
    </row>
    <row r="38" spans="1:8" ht="30.6" customHeight="1">
      <c r="B38" s="231" t="str">
        <f>"% de baisse vs "&amp;TEXT($C$8,"#")</f>
        <v>% de baisse vs 2019</v>
      </c>
      <c r="C38" s="244"/>
      <c r="D38" s="253">
        <f>IFERROR(1-(D37/C37),"")</f>
        <v>0.69967980364429361</v>
      </c>
    </row>
    <row r="39" spans="1:8" ht="30.6" customHeight="1">
      <c r="B39" s="254" t="str">
        <f>"Variation annuelle moyenne entre " &amp;TEXT($D$8,"#")&amp;" et "&amp;TEXT($C$8,"#")&amp;" "</f>
        <v xml:space="preserve">Variation annuelle moyenne entre 2030 et 2019 </v>
      </c>
      <c r="C39" s="244"/>
      <c r="D39" s="255">
        <f>IFERROR(((D37/C37)^(1/($D$8-$C$8))-1),"")</f>
        <v>-0.10358795105731411</v>
      </c>
    </row>
    <row r="40" spans="1:8" ht="28.8">
      <c r="B40" s="241" t="s">
        <v>330</v>
      </c>
      <c r="C40" s="225"/>
      <c r="D40" s="226"/>
      <c r="G40" s="6"/>
      <c r="H40" s="6"/>
    </row>
    <row r="41" spans="1:8" ht="22.95" customHeight="1">
      <c r="B41" s="216" t="s">
        <v>212</v>
      </c>
      <c r="C41" s="218">
        <f>VLOOKUP($B$40,'Résultats détaillés GES'!$A$38:$AP$54,MATCH(C$8,'Résultats détaillés GES'!$A$38:$AP$38),FALSE)</f>
        <v>16.786840162996779</v>
      </c>
      <c r="D41" s="218">
        <f>VLOOKUP($B$40,'Résultats détaillés GES'!$A$38:$AP$54,MATCH(D$8,'Résultats détaillés GES'!$A$38:$AP$38),FALSE)</f>
        <v>6.1296482301760999</v>
      </c>
      <c r="E41" s="5"/>
      <c r="F41" s="5"/>
      <c r="G41" s="6"/>
      <c r="H41" s="6"/>
    </row>
    <row r="42" spans="1:8" ht="22.95" customHeight="1">
      <c r="A42" t="s">
        <v>228</v>
      </c>
      <c r="B42" s="216" t="str">
        <f>"% de baisse vs "&amp;TEXT($C$8,"#")</f>
        <v>% de baisse vs 2019</v>
      </c>
      <c r="C42" s="219"/>
      <c r="D42" s="228">
        <f>1-(D41/C41)</f>
        <v>0.63485395877613227</v>
      </c>
      <c r="G42" s="6"/>
      <c r="H42" s="6"/>
    </row>
    <row r="43" spans="1:8" ht="32.4" customHeight="1">
      <c r="B43" s="221" t="str">
        <f>"Variation annuelle moyenne entre " &amp;TEXT($D$8,"#")&amp;" et "&amp;TEXT($C$8,"#")&amp;" "</f>
        <v xml:space="preserve">Variation annuelle moyenne entre 2030 et 2019 </v>
      </c>
      <c r="C43" s="219"/>
      <c r="D43" s="220">
        <f>((D41/C41)^(1/($D$8-$C$8))-1)</f>
        <v>-8.7518147262923729E-2</v>
      </c>
      <c r="G43" s="6"/>
      <c r="H43" s="6"/>
    </row>
    <row r="44" spans="1:8">
      <c r="B44" s="215" t="s">
        <v>41</v>
      </c>
      <c r="C44" s="225"/>
      <c r="D44" s="226"/>
    </row>
    <row r="45" spans="1:8" ht="22.95" customHeight="1">
      <c r="B45" s="216" t="s">
        <v>212</v>
      </c>
      <c r="C45" s="218">
        <f>VLOOKUP($B$44,'Résultats détaillés GES'!$A$38:$AP$54,MATCH(C$8,'Résultats détaillés GES'!$A$38:$AP$38),FALSE)</f>
        <v>2.4190312685432245</v>
      </c>
      <c r="D45" s="218">
        <f>VLOOKUP($B$44,'Résultats détaillés GES'!$A$38:$AP$54,MATCH(D$8,'Résultats détaillés GES'!$A$38:$AP$38),FALSE)</f>
        <v>1.8699155682501869</v>
      </c>
      <c r="E45" s="5"/>
      <c r="F45" s="5"/>
    </row>
    <row r="46" spans="1:8" ht="22.95" customHeight="1">
      <c r="A46" t="s">
        <v>228</v>
      </c>
      <c r="B46" s="216" t="str">
        <f>"% de baisse vs "&amp;TEXT($C$8,"#")</f>
        <v>% de baisse vs 2019</v>
      </c>
      <c r="C46" s="219"/>
      <c r="D46" s="228">
        <f>1-(D45/C45)</f>
        <v>0.22699818205480371</v>
      </c>
    </row>
    <row r="47" spans="1:8" ht="30.6" customHeight="1">
      <c r="B47" s="221" t="str">
        <f>"Variation annuelle moyenne entre " &amp;TEXT($D$8,"#")&amp;" et "&amp;TEXT($C$8,"#")&amp;" "</f>
        <v xml:space="preserve">Variation annuelle moyenne entre 2030 et 2019 </v>
      </c>
      <c r="C47" s="219"/>
      <c r="D47" s="220">
        <f>((D45/C45)^(1/($D$8-$C$8))-1)</f>
        <v>-2.3134903927909511E-2</v>
      </c>
    </row>
    <row r="48" spans="1:8">
      <c r="B48" s="250" t="s">
        <v>331</v>
      </c>
      <c r="C48" s="230"/>
      <c r="D48" s="251"/>
      <c r="E48" s="291" t="s">
        <v>36</v>
      </c>
    </row>
    <row r="49" spans="1:8" s="6" customFormat="1" ht="22.95" customHeight="1">
      <c r="B49" s="231" t="s">
        <v>212</v>
      </c>
      <c r="C49" s="252">
        <v>1.2314296853923843</v>
      </c>
      <c r="D49" s="252">
        <v>1.0267024695941034</v>
      </c>
      <c r="E49" s="5"/>
      <c r="F49" s="5"/>
      <c r="G49"/>
      <c r="H49"/>
    </row>
    <row r="50" spans="1:8" ht="22.95" customHeight="1">
      <c r="B50" s="231" t="str">
        <f>"% de baisse vs "&amp;TEXT($C$8,"#")</f>
        <v>% de baisse vs 2019</v>
      </c>
      <c r="C50" s="244"/>
      <c r="D50" s="253">
        <f>IFERROR(1-(D49/C49),"")</f>
        <v>0.16625164897908595</v>
      </c>
    </row>
    <row r="51" spans="1:8" ht="30.6" customHeight="1">
      <c r="B51" s="254" t="str">
        <f>"Variation annuelle moyenne entre " &amp;TEXT($D$8,"#")&amp;" et "&amp;TEXT($C$8,"#")&amp;" "</f>
        <v xml:space="preserve">Variation annuelle moyenne entre 2030 et 2019 </v>
      </c>
      <c r="C51" s="244"/>
      <c r="D51" s="255">
        <f>IFERROR(((D49/C49)^(1/($D$8-$C$8))-1),"")</f>
        <v>-1.6393562272149498E-2</v>
      </c>
    </row>
    <row r="52" spans="1:8" ht="28.8">
      <c r="B52" s="241" t="s">
        <v>43</v>
      </c>
      <c r="C52" s="225"/>
      <c r="D52" s="226"/>
    </row>
    <row r="53" spans="1:8" ht="22.95" customHeight="1">
      <c r="B53" s="216" t="s">
        <v>212</v>
      </c>
      <c r="C53" s="218">
        <f>VLOOKUP($B$52,'Résultats détaillés GES'!$A$38:$AP$54,MATCH(C$8,'Résultats détaillés GES'!$A$38:$AP$38),FALSE)</f>
        <v>19.364076692986298</v>
      </c>
      <c r="D53" s="218">
        <f>VLOOKUP($B$52,'Résultats détaillés GES'!$A$38:$AP$54,MATCH(D$8,'Résultats détaillés GES'!$A$38:$AP$38),FALSE)</f>
        <v>13.163701812435113</v>
      </c>
      <c r="E53" s="5"/>
      <c r="F53" s="5"/>
    </row>
    <row r="54" spans="1:8" ht="22.95" customHeight="1">
      <c r="A54" t="s">
        <v>228</v>
      </c>
      <c r="B54" s="216" t="str">
        <f>"% de baisse vs "&amp;TEXT($C$8,"#")</f>
        <v>% de baisse vs 2019</v>
      </c>
      <c r="C54" s="219"/>
      <c r="D54" s="228">
        <f>1-(D53/C53)</f>
        <v>0.32019987210632006</v>
      </c>
    </row>
    <row r="55" spans="1:8" ht="30.6" customHeight="1">
      <c r="B55" s="221" t="str">
        <f>"Variation annuelle moyenne entre " &amp;TEXT($D$8,"#")&amp;" et "&amp;TEXT($C$8,"#")&amp;" "</f>
        <v xml:space="preserve">Variation annuelle moyenne entre 2030 et 2019 </v>
      </c>
      <c r="C55" s="219"/>
      <c r="D55" s="220">
        <f>((D53/C53)^(1/($D$8-$C$8))-1)</f>
        <v>-3.4478539798096453E-2</v>
      </c>
    </row>
    <row r="56" spans="1:8">
      <c r="B56" s="243" t="s">
        <v>332</v>
      </c>
      <c r="C56" s="230"/>
      <c r="D56" s="251"/>
      <c r="E56" s="291" t="s">
        <v>36</v>
      </c>
    </row>
    <row r="57" spans="1:8" s="6" customFormat="1" ht="22.95" customHeight="1">
      <c r="B57" s="231" t="s">
        <v>212</v>
      </c>
      <c r="C57" s="252">
        <v>9.4286610506694082</v>
      </c>
      <c r="D57" s="252">
        <v>8.1332294872627759</v>
      </c>
      <c r="E57" s="5"/>
      <c r="F57" s="5"/>
      <c r="G57"/>
      <c r="H57"/>
    </row>
    <row r="58" spans="1:8" ht="22.95" customHeight="1">
      <c r="B58" s="231" t="str">
        <f>"% de baisse vs "&amp;TEXT($C$8,"#")</f>
        <v>% de baisse vs 2019</v>
      </c>
      <c r="C58" s="244"/>
      <c r="D58" s="253">
        <f>IFERROR(1-(D57/C57),"")</f>
        <v>0.13739295075356006</v>
      </c>
    </row>
    <row r="59" spans="1:8" ht="33" customHeight="1">
      <c r="B59" s="254" t="str">
        <f>"Variation annuelle moyenne entre " &amp;TEXT($D$8,"#")&amp;" et "&amp;TEXT($C$8,"#")&amp;" "</f>
        <v xml:space="preserve">Variation annuelle moyenne entre 2030 et 2019 </v>
      </c>
      <c r="C59" s="244"/>
      <c r="D59" s="255">
        <f>IFERROR(((D57/C57)^(1/($D$8-$C$8))-1),"")</f>
        <v>-1.3346141892827013E-2</v>
      </c>
    </row>
    <row r="60" spans="1:8" ht="22.95" customHeight="1">
      <c r="B60" s="243" t="s">
        <v>333</v>
      </c>
      <c r="C60" s="219"/>
      <c r="D60" s="228"/>
      <c r="E60" s="291" t="s">
        <v>36</v>
      </c>
    </row>
    <row r="61" spans="1:8" ht="22.95" customHeight="1">
      <c r="B61" s="231" t="s">
        <v>212</v>
      </c>
      <c r="C61" s="252">
        <f>IF(C8&gt;=2015,VLOOKUP($B$60,'Résultats détaillés GES'!$A$38:$AP$54,MATCH(C$8,'Résultats détaillés GES'!$A$38:$AP$38),FALSE),"Indisponible")</f>
        <v>3.0333811604055017</v>
      </c>
      <c r="D61" s="252">
        <f>IF(D8&gt;=2015,VLOOKUP($B$60,'Résultats détaillés GES'!$A$38:$AP$54,MATCH(D$8,'Résultats détaillés GES'!$A$38:$AP$38),FALSE),"Indisponible")</f>
        <v>1.5007206308201824</v>
      </c>
    </row>
    <row r="62" spans="1:8" ht="22.95" customHeight="1">
      <c r="B62" s="231" t="str">
        <f>"% de baisse vs "&amp;TEXT($C$8,"#")</f>
        <v>% de baisse vs 2019</v>
      </c>
      <c r="C62" s="219"/>
      <c r="D62" s="253">
        <f>IFERROR(1-(D61/C61),"")</f>
        <v>0.50526473546780837</v>
      </c>
    </row>
    <row r="63" spans="1:8" ht="33" customHeight="1">
      <c r="B63" s="254" t="str">
        <f>"Variation annuelle moyenne entre " &amp;TEXT($D$8,"#")&amp;" et "&amp;TEXT($C$8,"#")&amp;" "</f>
        <v xml:space="preserve">Variation annuelle moyenne entre 2030 et 2019 </v>
      </c>
      <c r="C63" s="219"/>
      <c r="D63" s="255">
        <f>IFERROR(((D61/C61)^(1/($D$8-$C$8))-1),"")</f>
        <v>-6.1972187791501931E-2</v>
      </c>
    </row>
    <row r="64" spans="1:8">
      <c r="B64" s="215" t="s">
        <v>46</v>
      </c>
      <c r="C64" s="225"/>
      <c r="D64" s="226"/>
    </row>
    <row r="65" spans="1:6" ht="22.95" customHeight="1">
      <c r="B65" s="216" t="s">
        <v>212</v>
      </c>
      <c r="C65" s="218">
        <f>VLOOKUP($B$64,'Résultats détaillés GES'!$A$38:$AP$54,MATCH(C$8,'Résultats détaillés GES'!$A$38:$AP$38),FALSE)</f>
        <v>2.4360020801853519</v>
      </c>
      <c r="D65" s="218">
        <f>VLOOKUP($B$64,'Résultats détaillés GES'!$A$38:$AP$54,MATCH(D$8,'Résultats détaillés GES'!$A$38:$AP$38),FALSE)</f>
        <v>1.7020121595760975</v>
      </c>
      <c r="E65" s="5"/>
      <c r="F65" s="5"/>
    </row>
    <row r="66" spans="1:6" ht="22.95" customHeight="1">
      <c r="A66" t="s">
        <v>334</v>
      </c>
      <c r="B66" s="216" t="str">
        <f>"% de baisse vs "&amp;TEXT($C$8,"#")</f>
        <v>% de baisse vs 2019</v>
      </c>
      <c r="C66" s="219"/>
      <c r="D66" s="228">
        <f>1-(D65/C65)</f>
        <v>0.30130923392044318</v>
      </c>
    </row>
    <row r="67" spans="1:6" ht="34.200000000000003" customHeight="1">
      <c r="B67" s="221" t="str">
        <f>"Variation annuelle moyenne entre " &amp;TEXT($D$8,"#")&amp;" et "&amp;TEXT($C$8,"#")&amp;" "</f>
        <v xml:space="preserve">Variation annuelle moyenne entre 2030 et 2019 </v>
      </c>
      <c r="C67" s="219"/>
      <c r="D67" s="220">
        <f>((D65/C65)^(1/($D$8-$C$8))-1)</f>
        <v>-3.2069686505060369E-2</v>
      </c>
    </row>
    <row r="68" spans="1:6">
      <c r="B68" s="215" t="s">
        <v>47</v>
      </c>
      <c r="C68" s="225"/>
      <c r="D68" s="226"/>
    </row>
    <row r="69" spans="1:6" ht="22.95" customHeight="1">
      <c r="B69" s="216" t="s">
        <v>212</v>
      </c>
      <c r="C69" s="218">
        <f>VLOOKUP($B$68,'Résultats détaillés GES'!$A$38:$AP$54,MATCH(C$8,'Résultats détaillés GES'!$A$38:$AP$38),FALSE)</f>
        <v>2.5547941048119593</v>
      </c>
      <c r="D69" s="218">
        <f>VLOOKUP($B$68,'Résultats détaillés GES'!$A$38:$AP$54,MATCH(D$8,'Résultats détaillés GES'!$A$38:$AP$38),FALSE)</f>
        <v>1.2398266050165292</v>
      </c>
      <c r="E69" s="5"/>
      <c r="F69" s="5"/>
    </row>
    <row r="70" spans="1:6" ht="22.95" customHeight="1">
      <c r="A70" t="s">
        <v>228</v>
      </c>
      <c r="B70" s="216" t="str">
        <f>"% de baisse vs "&amp;TEXT($C$8,"#")</f>
        <v>% de baisse vs 2019</v>
      </c>
      <c r="C70" s="219"/>
      <c r="D70" s="228">
        <f>1-(D69/C69)</f>
        <v>0.51470586115675099</v>
      </c>
    </row>
    <row r="71" spans="1:6" ht="32.4" customHeight="1">
      <c r="B71" s="221" t="str">
        <f>"Variation annuelle moyenne entre " &amp;TEXT($D$8,"#")&amp;" et "&amp;TEXT($C$8,"#")&amp;" "</f>
        <v xml:space="preserve">Variation annuelle moyenne entre 2030 et 2019 </v>
      </c>
      <c r="C71" s="219"/>
      <c r="D71" s="220">
        <f>((D69/C69)^(1/($D$8-$C$8))-1)</f>
        <v>-6.3613800988277069E-2</v>
      </c>
    </row>
    <row r="72" spans="1:6" ht="22.95" customHeight="1">
      <c r="D72" s="5"/>
      <c r="E72" s="5"/>
    </row>
    <row r="74" spans="1:6">
      <c r="B74" s="29" t="s">
        <v>226</v>
      </c>
    </row>
    <row r="75" spans="1:6" ht="28.2" customHeight="1">
      <c r="B75" s="58"/>
      <c r="C75" s="57"/>
    </row>
    <row r="76" spans="1:6" ht="36" customHeight="1">
      <c r="B76" s="192" t="str">
        <f>"Baisse globale entre "&amp;TEXT($D$8,"#")&amp;" et "&amp;TEXT($C$8,"#")&amp;" "</f>
        <v xml:space="preserve">Baisse globale entre 2030 et 2019 </v>
      </c>
      <c r="C76" s="388">
        <f>D10</f>
        <v>0.4340160912873583</v>
      </c>
      <c r="D76" s="388"/>
      <c r="E76" s="388"/>
    </row>
    <row r="77" spans="1:6" ht="36" customHeight="1">
      <c r="B77" s="192" t="s">
        <v>229</v>
      </c>
      <c r="C77" s="406" t="s">
        <v>335</v>
      </c>
      <c r="D77" s="406"/>
      <c r="E77" s="406"/>
    </row>
    <row r="78" spans="1:6" ht="58.95" customHeight="1">
      <c r="B78" s="190" t="s">
        <v>168</v>
      </c>
      <c r="C78" s="386" t="s">
        <v>336</v>
      </c>
      <c r="D78" s="386"/>
      <c r="E78" s="386"/>
    </row>
    <row r="79" spans="1:6" ht="73.2" customHeight="1">
      <c r="B79" s="190" t="s">
        <v>169</v>
      </c>
      <c r="C79" s="386" t="s">
        <v>337</v>
      </c>
      <c r="D79" s="386"/>
      <c r="E79" s="386"/>
    </row>
    <row r="80" spans="1:6" ht="45" customHeight="1">
      <c r="B80" s="390" t="s">
        <v>170</v>
      </c>
      <c r="C80" s="386" t="s">
        <v>338</v>
      </c>
      <c r="D80" s="386"/>
      <c r="E80" s="386"/>
    </row>
    <row r="81" spans="2:6" ht="58.2" customHeight="1">
      <c r="B81" s="390"/>
      <c r="C81" s="386" t="s">
        <v>339</v>
      </c>
      <c r="D81" s="386"/>
      <c r="E81" s="386"/>
    </row>
    <row r="82" spans="2:6" ht="45" customHeight="1">
      <c r="B82" s="190" t="s">
        <v>171</v>
      </c>
      <c r="C82" s="386" t="s">
        <v>340</v>
      </c>
      <c r="D82" s="386"/>
      <c r="E82" s="386"/>
    </row>
    <row r="83" spans="2:6" ht="45" customHeight="1">
      <c r="B83" s="407" t="s">
        <v>172</v>
      </c>
      <c r="C83" s="386" t="s">
        <v>341</v>
      </c>
      <c r="D83" s="386"/>
      <c r="E83" s="386"/>
    </row>
    <row r="84" spans="2:6" ht="45" customHeight="1">
      <c r="B84" s="407"/>
      <c r="C84" s="386" t="s">
        <v>342</v>
      </c>
      <c r="D84" s="386"/>
      <c r="E84" s="386"/>
    </row>
    <row r="85" spans="2:6" ht="45" customHeight="1">
      <c r="B85" s="190" t="s">
        <v>173</v>
      </c>
      <c r="C85" s="386" t="s">
        <v>343</v>
      </c>
      <c r="D85" s="386"/>
      <c r="E85" s="386"/>
    </row>
    <row r="88" spans="2:6">
      <c r="B88" s="45" t="s">
        <v>242</v>
      </c>
    </row>
    <row r="91" spans="2:6">
      <c r="B91" s="267" t="s">
        <v>244</v>
      </c>
      <c r="C91" s="268">
        <v>2019</v>
      </c>
      <c r="D91" s="268">
        <v>2030</v>
      </c>
      <c r="E91" s="211" t="s">
        <v>245</v>
      </c>
      <c r="F91" s="268" t="s">
        <v>246</v>
      </c>
    </row>
    <row r="92" spans="2:6">
      <c r="B92" s="278" t="s">
        <v>120</v>
      </c>
      <c r="C92" s="270">
        <v>0.42161016949152536</v>
      </c>
      <c r="D92" s="270">
        <v>0.22637795275590553</v>
      </c>
      <c r="E92" s="270" t="s">
        <v>344</v>
      </c>
      <c r="F92" s="276" t="s">
        <v>248</v>
      </c>
    </row>
    <row r="93" spans="2:6">
      <c r="B93" s="279" t="s">
        <v>345</v>
      </c>
      <c r="C93" s="270">
        <v>2</v>
      </c>
      <c r="D93" s="270">
        <v>1.0398058252427185</v>
      </c>
      <c r="E93" s="270" t="s">
        <v>346</v>
      </c>
      <c r="F93" s="276" t="s">
        <v>248</v>
      </c>
    </row>
    <row r="94" spans="2:6">
      <c r="B94" s="280" t="s">
        <v>27</v>
      </c>
      <c r="C94" s="270">
        <v>3.3072236727589202E-2</v>
      </c>
      <c r="D94" s="270">
        <v>1.5232974910394265E-2</v>
      </c>
      <c r="E94" s="270" t="s">
        <v>344</v>
      </c>
      <c r="F94" s="276" t="s">
        <v>248</v>
      </c>
    </row>
    <row r="95" spans="2:6" ht="28.8">
      <c r="B95" s="281" t="s">
        <v>347</v>
      </c>
      <c r="C95" s="270">
        <v>4.7169811320754713E-2</v>
      </c>
      <c r="D95" s="270">
        <v>3.9735099337748346E-2</v>
      </c>
      <c r="E95" s="270" t="s">
        <v>344</v>
      </c>
      <c r="F95" s="276" t="s">
        <v>248</v>
      </c>
    </row>
    <row r="96" spans="2:6">
      <c r="B96" s="282" t="s">
        <v>122</v>
      </c>
      <c r="C96" s="270">
        <v>0.20833333333333331</v>
      </c>
      <c r="D96" s="270">
        <v>0.10485436893203884</v>
      </c>
      <c r="E96" s="270" t="s">
        <v>344</v>
      </c>
      <c r="F96" s="276" t="s">
        <v>248</v>
      </c>
    </row>
    <row r="97" spans="2:6">
      <c r="B97" s="282" t="s">
        <v>33</v>
      </c>
      <c r="C97" s="270">
        <v>0.65116279069767447</v>
      </c>
      <c r="D97" s="270">
        <v>0.2250922509225092</v>
      </c>
      <c r="E97" s="270" t="s">
        <v>344</v>
      </c>
      <c r="F97" s="276" t="s">
        <v>248</v>
      </c>
    </row>
    <row r="98" spans="2:6">
      <c r="B98" s="279" t="s">
        <v>331</v>
      </c>
      <c r="C98" s="270">
        <v>1.2842696629213484</v>
      </c>
      <c r="D98" s="270">
        <v>0.74107142857142849</v>
      </c>
      <c r="E98" s="270" t="s">
        <v>346</v>
      </c>
      <c r="F98" s="276" t="s">
        <v>248</v>
      </c>
    </row>
    <row r="99" spans="2:6" ht="28.8">
      <c r="B99" s="281" t="s">
        <v>348</v>
      </c>
      <c r="C99" s="270">
        <v>2.3095238095238093</v>
      </c>
      <c r="D99" s="270">
        <v>1.517241379310345</v>
      </c>
      <c r="E99" s="270" t="s">
        <v>344</v>
      </c>
      <c r="F99" s="276" t="s">
        <v>248</v>
      </c>
    </row>
    <row r="100" spans="2:6">
      <c r="B100" s="283" t="s">
        <v>126</v>
      </c>
      <c r="C100" s="270">
        <v>0.7103554868624421</v>
      </c>
      <c r="D100" s="270">
        <v>0.50278688524590165</v>
      </c>
      <c r="E100" s="270" t="s">
        <v>346</v>
      </c>
      <c r="F100" s="276" t="s">
        <v>248</v>
      </c>
    </row>
    <row r="101" spans="2:6">
      <c r="B101" s="283" t="s">
        <v>349</v>
      </c>
      <c r="C101" s="270">
        <v>0.52631578947368418</v>
      </c>
      <c r="D101" s="270">
        <v>0.27624309392265195</v>
      </c>
      <c r="E101" s="270" t="s">
        <v>346</v>
      </c>
      <c r="F101" s="276" t="s">
        <v>248</v>
      </c>
    </row>
    <row r="102" spans="2:6">
      <c r="B102" s="282" t="s">
        <v>46</v>
      </c>
      <c r="C102" s="270">
        <v>0.32786885245901637</v>
      </c>
      <c r="D102" s="270">
        <v>0.2048192771084337</v>
      </c>
      <c r="E102" s="270" t="s">
        <v>346</v>
      </c>
      <c r="F102" s="276" t="s">
        <v>248</v>
      </c>
    </row>
  </sheetData>
  <mergeCells count="13">
    <mergeCell ref="C85:E85"/>
    <mergeCell ref="C84:E84"/>
    <mergeCell ref="C82:E82"/>
    <mergeCell ref="C79:E79"/>
    <mergeCell ref="C78:E78"/>
    <mergeCell ref="B6:E6"/>
    <mergeCell ref="C76:E76"/>
    <mergeCell ref="C77:E77"/>
    <mergeCell ref="B83:B84"/>
    <mergeCell ref="C83:E83"/>
    <mergeCell ref="B80:B81"/>
    <mergeCell ref="C81:E81"/>
    <mergeCell ref="C80:E8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45"/>
  <sheetViews>
    <sheetView showGridLines="0" topLeftCell="A28" zoomScale="70" zoomScaleNormal="70" workbookViewId="0">
      <selection activeCell="C36" sqref="C36:E36"/>
    </sheetView>
  </sheetViews>
  <sheetFormatPr baseColWidth="10" defaultColWidth="11.44140625" defaultRowHeight="14.4"/>
  <cols>
    <col min="2" max="2" width="36.6640625" customWidth="1"/>
    <col min="3" max="5" width="30.6640625" customWidth="1"/>
    <col min="6" max="6" width="18.44140625" customWidth="1"/>
    <col min="7" max="7" width="19.6640625" customWidth="1"/>
    <col min="9" max="9" width="34.44140625" customWidth="1"/>
    <col min="10" max="10" width="11.6640625" bestFit="1" customWidth="1"/>
  </cols>
  <sheetData>
    <row r="3" spans="2:11">
      <c r="B3" s="45" t="s">
        <v>209</v>
      </c>
    </row>
    <row r="6" spans="2:11">
      <c r="B6" s="384" t="s">
        <v>210</v>
      </c>
      <c r="C6" s="384"/>
      <c r="D6" s="384"/>
      <c r="E6" s="384"/>
    </row>
    <row r="7" spans="2:11">
      <c r="B7" s="19"/>
      <c r="C7" s="19"/>
      <c r="D7" s="3"/>
      <c r="E7" s="19"/>
    </row>
    <row r="8" spans="2:11" ht="44.4" customHeight="1">
      <c r="B8" s="237" t="s">
        <v>82</v>
      </c>
      <c r="C8" s="238">
        <f>'Choix années'!$C$4</f>
        <v>2019</v>
      </c>
      <c r="D8" s="238">
        <f>'Choix années'!$C$5</f>
        <v>2030</v>
      </c>
      <c r="E8" s="4"/>
      <c r="F8" s="4"/>
    </row>
    <row r="9" spans="2:11" ht="22.95" customHeight="1">
      <c r="B9" s="235" t="s">
        <v>212</v>
      </c>
      <c r="C9" s="239">
        <f>SUM(C13,C17,C21,C25)</f>
        <v>16.019293332765596</v>
      </c>
      <c r="D9" s="239">
        <f>SUM(D13,D17,D21,D25)</f>
        <v>7.2070427683094058</v>
      </c>
      <c r="E9" s="5"/>
      <c r="F9" s="5"/>
    </row>
    <row r="10" spans="2:11" ht="30" customHeight="1">
      <c r="B10" s="209" t="str">
        <f>"% de baisse vs "&amp;TEXT($C$8,"#")</f>
        <v>% de baisse vs 2019</v>
      </c>
      <c r="C10" s="235"/>
      <c r="D10" s="240">
        <f>1-(D9/C9)</f>
        <v>0.55010232857349328</v>
      </c>
    </row>
    <row r="11" spans="2:11" ht="30" customHeight="1">
      <c r="B11" s="209" t="str">
        <f>"Variation annuelle moyenne entre "&amp;TEXT($D$8,"#")&amp;" et "&amp;TEXT($C$8,"#")&amp;" "</f>
        <v xml:space="preserve">Variation annuelle moyenne entre 2030 et 2019 </v>
      </c>
      <c r="C11" s="235"/>
      <c r="D11" s="240">
        <f>((D9/C9)^(1/($D$8-$C$8))-1)</f>
        <v>-7.0038678548617339E-2</v>
      </c>
    </row>
    <row r="12" spans="2:11">
      <c r="B12" s="215" t="s">
        <v>83</v>
      </c>
      <c r="C12" s="216"/>
      <c r="D12" s="217"/>
    </row>
    <row r="13" spans="2:11" ht="22.95" customHeight="1">
      <c r="B13" s="216" t="s">
        <v>212</v>
      </c>
      <c r="C13" s="218">
        <f>VLOOKUP($B$12,'Résultats détaillés GES'!$A$57:$AP$62,MATCH(C$8,'Résultats détaillés GES'!$A$57:$AP$57),FALSE)</f>
        <v>13.108752638415172</v>
      </c>
      <c r="D13" s="218">
        <f>VLOOKUP($B$12,'Résultats détaillés GES'!$A$57:$AP$62,MATCH(D$8,'Résultats détaillés GES'!$A$57:$AP$57),FALSE)</f>
        <v>4.0810988448819741</v>
      </c>
      <c r="E13" s="5"/>
      <c r="F13" s="5"/>
    </row>
    <row r="14" spans="2:11" ht="22.95" customHeight="1">
      <c r="B14" s="216" t="str">
        <f>"% de baisse vs "&amp;TEXT($C$8,"#")</f>
        <v>% de baisse vs 2019</v>
      </c>
      <c r="C14" s="219"/>
      <c r="D14" s="220">
        <f>1-(D13/C13)</f>
        <v>0.68867374665974523</v>
      </c>
    </row>
    <row r="15" spans="2:11" ht="31.2" customHeight="1">
      <c r="B15" s="221" t="str">
        <f>"Variation annuelle moyenne entre "&amp;TEXT($D$8,"#")&amp;" et "&amp;TEXT($C$8,"#")&amp;" "</f>
        <v xml:space="preserve">Variation annuelle moyenne entre 2030 et 2019 </v>
      </c>
      <c r="C15" s="219"/>
      <c r="D15" s="220">
        <f>((D13/C13)^(1/($D$8-$C$8))-1)</f>
        <v>-0.10065007224783862</v>
      </c>
      <c r="H15" s="59"/>
      <c r="I15" s="28"/>
      <c r="J15" s="28"/>
      <c r="K15" s="28"/>
    </row>
    <row r="16" spans="2:11">
      <c r="B16" s="215" t="s">
        <v>84</v>
      </c>
      <c r="C16" s="216"/>
      <c r="D16" s="217"/>
    </row>
    <row r="17" spans="1:6" ht="22.95" customHeight="1">
      <c r="B17" s="216" t="s">
        <v>212</v>
      </c>
      <c r="C17" s="218">
        <f>VLOOKUP($B$16,'Résultats détaillés GES'!$A$57:$AP$62,MATCH(C$8,'Résultats détaillés GES'!$A$57:$AP$57),FALSE)</f>
        <v>1.6022758836369131</v>
      </c>
      <c r="D17" s="218">
        <f>VLOOKUP($B$16,'Résultats détaillés GES'!$A$57:$AP$62,MATCH(D$8,'Résultats détaillés GES'!$A$57:$AP$57),FALSE)</f>
        <v>1.7610876216326314</v>
      </c>
      <c r="E17" s="5"/>
      <c r="F17" s="5"/>
    </row>
    <row r="18" spans="1:6" ht="22.95" customHeight="1">
      <c r="B18" s="216" t="str">
        <f>"% de baisse vs "&amp;TEXT($C$8,"#")</f>
        <v>% de baisse vs 2019</v>
      </c>
      <c r="C18" s="222"/>
      <c r="D18" s="223">
        <f>1-(D17/C17)</f>
        <v>-9.9116350447240542E-2</v>
      </c>
    </row>
    <row r="19" spans="1:6" ht="33" customHeight="1">
      <c r="B19" s="221" t="str">
        <f>"Variation annuelle moyenne entre "&amp;TEXT($D$8,"#")&amp;" et "&amp;TEXT($C$8,"#")&amp;" "</f>
        <v xml:space="preserve">Variation annuelle moyenne entre 2030 et 2019 </v>
      </c>
      <c r="C19" s="222"/>
      <c r="D19" s="220">
        <f>((D17/C17)^(1/($D$8-$C$8))-1)</f>
        <v>8.6285164529107394E-3</v>
      </c>
    </row>
    <row r="20" spans="1:6">
      <c r="B20" s="241" t="s">
        <v>85</v>
      </c>
      <c r="C20" s="216"/>
      <c r="D20" s="216"/>
    </row>
    <row r="21" spans="1:6" ht="22.95" customHeight="1">
      <c r="B21" s="216" t="s">
        <v>212</v>
      </c>
      <c r="C21" s="218">
        <f>VLOOKUP($B$20,'Résultats détaillés GES'!$A$57:$AP$62,MATCH(C$8,'Résultats détaillés GES'!$A$57:$AP$57),FALSE)</f>
        <v>0.97164899883818268</v>
      </c>
      <c r="D21" s="218">
        <f>VLOOKUP($B$20,'Résultats détaillés GES'!$A$57:$AP$62,MATCH(D$8,'Résultats détaillés GES'!$A$57:$AP$57),FALSE)</f>
        <v>1.0296419970170769</v>
      </c>
      <c r="E21" s="5"/>
      <c r="F21" s="5"/>
    </row>
    <row r="22" spans="1:6" ht="22.95" customHeight="1">
      <c r="A22" t="s">
        <v>228</v>
      </c>
      <c r="B22" s="216" t="str">
        <f>"% de baisse vs "&amp;TEXT($C$8,"#")</f>
        <v>% de baisse vs 2019</v>
      </c>
      <c r="C22" s="213"/>
      <c r="D22" s="224">
        <f>1-(D21/C21)</f>
        <v>-5.9685131408808711E-2</v>
      </c>
    </row>
    <row r="23" spans="1:6" ht="37.200000000000003" customHeight="1">
      <c r="B23" s="221" t="str">
        <f>"Variation annuelle moyenne entre "&amp;TEXT($D$8,"#")&amp;" et "&amp;TEXT($C$8,"#")&amp;" "</f>
        <v xml:space="preserve">Variation annuelle moyenne entre 2030 et 2019 </v>
      </c>
      <c r="C23" s="213"/>
      <c r="D23" s="220">
        <f>((D21/C21)^(1/($D$8-$C$8))-1)</f>
        <v>5.2840770363551393E-3</v>
      </c>
    </row>
    <row r="24" spans="1:6">
      <c r="B24" s="215" t="s">
        <v>86</v>
      </c>
      <c r="C24" s="216"/>
      <c r="D24" s="216"/>
    </row>
    <row r="25" spans="1:6" ht="31.2" customHeight="1">
      <c r="B25" s="216" t="s">
        <v>212</v>
      </c>
      <c r="C25" s="218">
        <f>VLOOKUP($B$24,'Résultats détaillés GES'!$A$57:$AP$62,MATCH(C$8,'Résultats détaillés GES'!$A$57:$AP$57),FALSE)</f>
        <v>0.33661581187532741</v>
      </c>
      <c r="D25" s="218">
        <f>VLOOKUP($B$24,'Résultats détaillés GES'!$A$57:$AP$62,MATCH(D$8,'Résultats détaillés GES'!$A$57:$AP$57),FALSE)</f>
        <v>0.33521430477772346</v>
      </c>
      <c r="E25" s="5"/>
      <c r="F25" s="5"/>
    </row>
    <row r="26" spans="1:6" ht="22.95" customHeight="1">
      <c r="A26" t="s">
        <v>228</v>
      </c>
      <c r="B26" s="216" t="str">
        <f>"% de baisse vs "&amp;TEXT($C$8,"#")</f>
        <v>% de baisse vs 2019</v>
      </c>
      <c r="C26" s="213"/>
      <c r="D26" s="224">
        <f>1-(D25/C25)</f>
        <v>4.1635212849805425E-3</v>
      </c>
    </row>
    <row r="27" spans="1:6" ht="34.950000000000003" customHeight="1">
      <c r="B27" s="221" t="str">
        <f>"Variation annuelle moyenne entre "&amp;TEXT($D$8,"#")&amp;" et "&amp;TEXT($C$8,"#")&amp;" "</f>
        <v xml:space="preserve">Variation annuelle moyenne entre 2030 et 2019 </v>
      </c>
      <c r="C27" s="213"/>
      <c r="D27" s="220">
        <f>((D25/C25)^(1/($D$8-$C$8))-1)</f>
        <v>-3.7922015723357294E-4</v>
      </c>
    </row>
    <row r="28" spans="1:6" ht="22.95" customHeight="1">
      <c r="D28" s="5"/>
      <c r="E28" s="5"/>
    </row>
    <row r="30" spans="1:6">
      <c r="B30" s="29" t="s">
        <v>226</v>
      </c>
    </row>
    <row r="31" spans="1:6" ht="28.2" customHeight="1">
      <c r="B31" s="58"/>
      <c r="C31" s="57"/>
    </row>
    <row r="32" spans="1:6" ht="36" customHeight="1">
      <c r="B32" s="192" t="str">
        <f>"Baisse globale entre "&amp;TEXT($D$8,"#")&amp;" et "&amp;TEXT($C$8,"#")&amp;" "</f>
        <v xml:space="preserve">Baisse globale entre 2030 et 2019 </v>
      </c>
      <c r="C32" s="388">
        <f>D10</f>
        <v>0.55010232857349328</v>
      </c>
      <c r="D32" s="388"/>
      <c r="E32" s="388"/>
    </row>
    <row r="33" spans="2:6" ht="36" customHeight="1">
      <c r="B33" s="192" t="s">
        <v>229</v>
      </c>
      <c r="C33" s="380" t="s">
        <v>335</v>
      </c>
      <c r="D33" s="381"/>
      <c r="E33" s="382"/>
    </row>
    <row r="34" spans="2:6" ht="36" customHeight="1">
      <c r="B34" s="390" t="s">
        <v>199</v>
      </c>
      <c r="C34" s="379" t="s">
        <v>350</v>
      </c>
      <c r="D34" s="379"/>
      <c r="E34" s="379"/>
    </row>
    <row r="35" spans="2:6" ht="45" customHeight="1">
      <c r="B35" s="390"/>
      <c r="C35" s="379" t="s">
        <v>351</v>
      </c>
      <c r="D35" s="379"/>
      <c r="E35" s="379"/>
    </row>
    <row r="36" spans="2:6" ht="45" customHeight="1">
      <c r="B36" s="408" t="s">
        <v>200</v>
      </c>
      <c r="C36" s="379" t="s">
        <v>352</v>
      </c>
      <c r="D36" s="379"/>
      <c r="E36" s="379"/>
    </row>
    <row r="37" spans="2:6" ht="70.2" customHeight="1">
      <c r="B37" s="409"/>
      <c r="C37" s="386" t="s">
        <v>353</v>
      </c>
      <c r="D37" s="386"/>
      <c r="E37" s="386"/>
    </row>
    <row r="38" spans="2:6" ht="61.2" customHeight="1"/>
    <row r="39" spans="2:6">
      <c r="B39" s="45" t="s">
        <v>242</v>
      </c>
    </row>
    <row r="42" spans="2:6">
      <c r="B42" s="267" t="s">
        <v>244</v>
      </c>
      <c r="C42" s="268">
        <v>2019</v>
      </c>
      <c r="D42" s="268">
        <v>2030</v>
      </c>
      <c r="E42" s="211" t="s">
        <v>245</v>
      </c>
    </row>
    <row r="43" spans="2:6">
      <c r="B43" s="278" t="s">
        <v>83</v>
      </c>
      <c r="C43" s="218">
        <v>0.80864197530864201</v>
      </c>
      <c r="D43" s="218">
        <v>0.51012500000000005</v>
      </c>
      <c r="E43" s="270" t="s">
        <v>354</v>
      </c>
    </row>
    <row r="44" spans="2:6">
      <c r="B44" s="278" t="s">
        <v>86</v>
      </c>
      <c r="C44" s="218">
        <v>5.0046104564957066</v>
      </c>
      <c r="D44" s="218">
        <v>4.8833819241982521</v>
      </c>
      <c r="E44" s="270" t="s">
        <v>355</v>
      </c>
      <c r="F44" s="37"/>
    </row>
    <row r="45" spans="2:6">
      <c r="B45" s="278" t="s">
        <v>356</v>
      </c>
      <c r="C45" s="218">
        <v>0.19403151515151515</v>
      </c>
      <c r="D45" s="218">
        <v>9.1215189873417729E-2</v>
      </c>
      <c r="E45" s="219" t="s">
        <v>354</v>
      </c>
      <c r="F45" s="42"/>
    </row>
  </sheetData>
  <mergeCells count="9">
    <mergeCell ref="B6:E6"/>
    <mergeCell ref="B34:B35"/>
    <mergeCell ref="C32:E32"/>
    <mergeCell ref="C37:E37"/>
    <mergeCell ref="C36:E36"/>
    <mergeCell ref="C35:E35"/>
    <mergeCell ref="C34:E34"/>
    <mergeCell ref="C33:E33"/>
    <mergeCell ref="B36:B3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82"/>
  <sheetViews>
    <sheetView showGridLines="0" topLeftCell="G64" zoomScaleNormal="100" workbookViewId="0">
      <selection activeCell="N69" sqref="N69"/>
    </sheetView>
  </sheetViews>
  <sheetFormatPr baseColWidth="10" defaultColWidth="11.44140625" defaultRowHeight="14.4"/>
  <cols>
    <col min="2" max="2" width="40.44140625" customWidth="1"/>
    <col min="3" max="5" width="30.6640625" customWidth="1"/>
    <col min="6" max="6" width="21.6640625" customWidth="1"/>
    <col min="7" max="7" width="23.6640625" customWidth="1"/>
    <col min="8" max="8" width="18.6640625" customWidth="1"/>
    <col min="9" max="9" width="47.109375" customWidth="1"/>
    <col min="10" max="10" width="11.6640625" bestFit="1" customWidth="1"/>
    <col min="14" max="14" width="51.6640625" customWidth="1"/>
  </cols>
  <sheetData>
    <row r="3" spans="2:6">
      <c r="B3" s="45" t="s">
        <v>209</v>
      </c>
    </row>
    <row r="4" spans="2:6">
      <c r="E4" s="48"/>
    </row>
    <row r="5" spans="2:6">
      <c r="D5" s="28"/>
      <c r="E5" s="28"/>
    </row>
    <row r="6" spans="2:6">
      <c r="B6" s="384" t="s">
        <v>210</v>
      </c>
      <c r="C6" s="384"/>
      <c r="D6" s="384"/>
      <c r="E6" s="384"/>
    </row>
    <row r="7" spans="2:6">
      <c r="B7" s="19"/>
      <c r="C7" s="19"/>
      <c r="D7" s="3"/>
      <c r="E7" s="19"/>
    </row>
    <row r="8" spans="2:6" ht="52.2" customHeight="1">
      <c r="B8" s="237" t="s">
        <v>88</v>
      </c>
      <c r="C8" s="238">
        <f>'Choix années'!$C$4</f>
        <v>2019</v>
      </c>
      <c r="D8" s="238">
        <f>'Choix années'!$C$5</f>
        <v>2030</v>
      </c>
      <c r="E8" s="4"/>
      <c r="F8" s="4"/>
    </row>
    <row r="9" spans="2:6" ht="22.95" customHeight="1">
      <c r="B9" s="235" t="s">
        <v>212</v>
      </c>
      <c r="C9" s="239">
        <f>VLOOKUP("Total Industrie de l'énergie",'Résultats détaillés GES'!$A$24:$AP$35,MATCH(C$8,'Résultats détaillés GES'!$A$24:$AP$24),FALSE)</f>
        <v>46.237279599615874</v>
      </c>
      <c r="D9" s="239">
        <f>VLOOKUP("Total Industrie de l'énergie",'Résultats détaillés GES'!$A$24:$AP$35,MATCH(D$8,'Résultats détaillés GES'!$A$24:$AP$24),FALSE)</f>
        <v>27.408725983009017</v>
      </c>
      <c r="E9" s="5"/>
      <c r="F9" s="5"/>
    </row>
    <row r="10" spans="2:6" ht="30" customHeight="1">
      <c r="B10" s="235" t="str">
        <f>"% de baisse vs "&amp;TEXT($C$8,"#")</f>
        <v>% de baisse vs 2019</v>
      </c>
      <c r="C10" s="235"/>
      <c r="D10" s="240">
        <f>1-(D9/C9)</f>
        <v>0.40721586087351214</v>
      </c>
    </row>
    <row r="11" spans="2:6" ht="30" customHeight="1">
      <c r="B11" s="256" t="str">
        <f>"Variation annuelle moyenne entre " &amp;TEXT($D$8,"#")&amp;" et "&amp;TEXT($C$8,"#")&amp;" "</f>
        <v xml:space="preserve">Variation annuelle moyenne entre 2030 et 2019 </v>
      </c>
      <c r="C11" s="235"/>
      <c r="D11" s="240">
        <f>((D9/C9)^(1/($D$8-$C$8))-1)</f>
        <v>-4.6426366834650956E-2</v>
      </c>
    </row>
    <row r="12" spans="2:6">
      <c r="B12" s="215" t="s">
        <v>90</v>
      </c>
      <c r="C12" s="216"/>
      <c r="D12" s="217"/>
    </row>
    <row r="13" spans="2:6" ht="47.4" customHeight="1">
      <c r="B13" s="216" t="s">
        <v>212</v>
      </c>
      <c r="C13" s="218">
        <f>VLOOKUP($B$12,'Résultats détaillés GES'!$A$24:$AP$35,MATCH(C$8,'Résultats détaillés GES'!$A$24:$AP$24),FALSE)</f>
        <v>19.929661530672664</v>
      </c>
      <c r="D13" s="218">
        <f>VLOOKUP($B$12,'Résultats détaillés GES'!$A$24:$AP$35,MATCH(D$8,'Résultats détaillés GES'!$A$24:$AP$24),FALSE)</f>
        <v>7.9401019111658382</v>
      </c>
      <c r="E13" s="5"/>
      <c r="F13" s="5"/>
    </row>
    <row r="14" spans="2:6" ht="35.700000000000003" customHeight="1">
      <c r="B14" s="216" t="str">
        <f>"% de baisse vs "&amp;TEXT($C$8,"#")</f>
        <v>% de baisse vs 2019</v>
      </c>
      <c r="C14" s="218"/>
      <c r="D14" s="220">
        <f>1-(D13/C13)</f>
        <v>0.6015937401171787</v>
      </c>
      <c r="E14" s="5"/>
      <c r="F14" s="5"/>
    </row>
    <row r="15" spans="2:6" ht="35.700000000000003" customHeight="1">
      <c r="B15" s="221" t="str">
        <f>"Variation annuelle moyenne entre " &amp;TEXT($D$8,"#")&amp;" et "&amp;TEXT($C$8,"#")&amp;" "</f>
        <v xml:space="preserve">Variation annuelle moyenne entre 2030 et 2019 </v>
      </c>
      <c r="C15" s="219"/>
      <c r="D15" s="220">
        <f>((D13/C13)^(1/($D$8-$C$8))-1)</f>
        <v>-8.0258010642129118E-2</v>
      </c>
      <c r="E15" s="5"/>
      <c r="F15" s="5"/>
    </row>
    <row r="16" spans="2:6" ht="35.700000000000003" customHeight="1">
      <c r="B16" s="215" t="s">
        <v>92</v>
      </c>
      <c r="C16" s="257"/>
      <c r="D16" s="217"/>
      <c r="E16" s="5"/>
      <c r="F16" s="5"/>
    </row>
    <row r="17" spans="1:6" ht="39" customHeight="1">
      <c r="B17" s="216" t="s">
        <v>212</v>
      </c>
      <c r="C17" s="218">
        <f>VLOOKUP($B$16,'Résultats détaillés GES'!$A$24:$AP$35,MATCH(C$8,'Résultats détaillés GES'!$A$24:$AP$24),FALSE)</f>
        <v>5.7102121322219004</v>
      </c>
      <c r="D17" s="218">
        <f>VLOOKUP($B$16,'Résultats détaillés GES'!$A$24:$AP$35,MATCH(D$8,'Résultats détaillés GES'!$A$24:$AP$24),FALSE)</f>
        <v>4.3615100158434394</v>
      </c>
      <c r="E17" s="5"/>
      <c r="F17" s="5"/>
    </row>
    <row r="18" spans="1:6" ht="25.5" customHeight="1">
      <c r="B18" s="216" t="str">
        <f>"% de baisse vs "&amp;TEXT($C$8,"#")</f>
        <v>% de baisse vs 2019</v>
      </c>
      <c r="C18" s="258"/>
      <c r="D18" s="223">
        <f>1-(D17/C17)</f>
        <v>0.23619124564005778</v>
      </c>
      <c r="E18" s="5"/>
      <c r="F18" s="5"/>
    </row>
    <row r="19" spans="1:6" ht="33.6" customHeight="1">
      <c r="B19" s="221" t="str">
        <f>"Variation annuelle moyenne entre " &amp;TEXT($D$8,"#")&amp;" et "&amp;TEXT($C$8,"#")&amp;" "</f>
        <v xml:space="preserve">Variation annuelle moyenne entre 2030 et 2019 </v>
      </c>
      <c r="C19" s="219"/>
      <c r="D19" s="220">
        <f>((D17/C17)^(1/($D$8-$C$8))-1)</f>
        <v>-2.419679715880696E-2</v>
      </c>
      <c r="E19" s="5"/>
      <c r="F19" s="5"/>
    </row>
    <row r="20" spans="1:6" ht="35.700000000000003" customHeight="1">
      <c r="B20" s="241" t="s">
        <v>94</v>
      </c>
      <c r="C20" s="257"/>
      <c r="D20" s="216"/>
      <c r="E20" s="5"/>
      <c r="F20" s="5"/>
    </row>
    <row r="21" spans="1:6" ht="47.4" customHeight="1">
      <c r="B21" s="216" t="s">
        <v>212</v>
      </c>
      <c r="C21" s="218">
        <f>VLOOKUP($B$20,'Résultats détaillés GES'!$A$24:$AP$35,MATCH(C$8,'Résultats détaillés GES'!$A$24:$AP$24),FALSE)</f>
        <v>8.7096915785989424</v>
      </c>
      <c r="D21" s="218">
        <f>VLOOKUP($B$20,'Résultats détaillés GES'!$A$24:$AP$35,MATCH(D$8,'Résultats détaillés GES'!$A$24:$AP$24),FALSE)</f>
        <v>6.2776383691350635</v>
      </c>
      <c r="E21" s="5"/>
      <c r="F21" s="5"/>
    </row>
    <row r="22" spans="1:6" ht="33" customHeight="1">
      <c r="A22" t="s">
        <v>228</v>
      </c>
      <c r="B22" s="216" t="str">
        <f>"% de baisse vs "&amp;TEXT($C$8,"#")</f>
        <v>% de baisse vs 2019</v>
      </c>
      <c r="C22" s="259"/>
      <c r="D22" s="224">
        <f>1-(D21/C21)</f>
        <v>0.27923528491408456</v>
      </c>
      <c r="E22" s="5"/>
      <c r="F22" s="5"/>
    </row>
    <row r="23" spans="1:6" ht="33" customHeight="1">
      <c r="B23" s="221" t="str">
        <f>"Variation annuelle moyenne entre " &amp;TEXT($D$8,"#")&amp;" et "&amp;TEXT($C$8,"#")&amp;" "</f>
        <v xml:space="preserve">Variation annuelle moyenne entre 2030 et 2019 </v>
      </c>
      <c r="C23" s="219"/>
      <c r="D23" s="220">
        <f>((D21/C21)^(1/($D$8-$C$8))-1)</f>
        <v>-2.9328813956114419E-2</v>
      </c>
      <c r="E23" s="5"/>
      <c r="F23" s="5"/>
    </row>
    <row r="24" spans="1:6" ht="26.4" customHeight="1">
      <c r="B24" s="215" t="s">
        <v>96</v>
      </c>
      <c r="C24" s="257"/>
      <c r="D24" s="216"/>
      <c r="E24" s="5"/>
      <c r="F24" s="5"/>
    </row>
    <row r="25" spans="1:6" ht="22.95" customHeight="1">
      <c r="B25" s="216" t="s">
        <v>212</v>
      </c>
      <c r="C25" s="218">
        <f>VLOOKUP($B$24,'Résultats détaillés GES'!$A$24:$AP$35,MATCH(C$8,'Résultats détaillés GES'!$A$24:$AP$24),FALSE)</f>
        <v>2.8472145429754812</v>
      </c>
      <c r="D25" s="218">
        <f>VLOOKUP($B$24,'Résultats détaillés GES'!$A$24:$AP$35,MATCH(D$8,'Résultats détaillés GES'!$A$24:$AP$24),FALSE)</f>
        <v>1.1799386975555013</v>
      </c>
      <c r="E25" s="5"/>
      <c r="F25" s="5"/>
    </row>
    <row r="26" spans="1:6" ht="22.95" customHeight="1">
      <c r="A26" t="s">
        <v>228</v>
      </c>
      <c r="B26" s="216" t="str">
        <f>"% de baisse vs "&amp;TEXT($C$8,"#")</f>
        <v>% de baisse vs 2019</v>
      </c>
      <c r="C26" s="259"/>
      <c r="D26" s="224">
        <f>1-(D25/C25)</f>
        <v>0.58558138849543573</v>
      </c>
      <c r="E26" s="5"/>
      <c r="F26" s="5"/>
    </row>
    <row r="27" spans="1:6" ht="32.4" customHeight="1">
      <c r="B27" s="221" t="str">
        <f>"Variation annuelle moyenne entre " &amp;TEXT($D$8,"#")&amp;" et "&amp;TEXT($C$8,"#")&amp;" "</f>
        <v xml:space="preserve">Variation annuelle moyenne entre 2030 et 2019 </v>
      </c>
      <c r="C27" s="219"/>
      <c r="D27" s="220">
        <f>((D25/C25)^(1/($D$8-$C$8))-1)</f>
        <v>-7.695738895986115E-2</v>
      </c>
      <c r="E27" s="5"/>
      <c r="F27" s="5"/>
    </row>
    <row r="28" spans="1:6">
      <c r="B28" s="215" t="s">
        <v>357</v>
      </c>
      <c r="C28" s="260"/>
      <c r="D28" s="226"/>
      <c r="E28" s="5"/>
      <c r="F28" s="5"/>
    </row>
    <row r="29" spans="1:6" ht="22.95" customHeight="1">
      <c r="B29" s="216" t="s">
        <v>212</v>
      </c>
      <c r="C29" s="218">
        <f>VLOOKUP($B$28,'Résultats détaillés GES'!$A$24:$AP$35,MATCH(C$8,'Résultats détaillés GES'!$A$24:$AP$24),FALSE)</f>
        <v>1.1256E-2</v>
      </c>
      <c r="D29" s="218">
        <f>VLOOKUP($B$28,'Résultats détaillés GES'!$A$24:$AP$35,MATCH(D$8,'Résultats détaillés GES'!$A$24:$AP$24),FALSE)</f>
        <v>1.3131999999999966E-3</v>
      </c>
      <c r="E29" s="5"/>
      <c r="F29" s="5"/>
    </row>
    <row r="30" spans="1:6" ht="22.95" customHeight="1">
      <c r="A30" t="s">
        <v>228</v>
      </c>
      <c r="B30" s="216" t="str">
        <f>"% de baisse vs "&amp;TEXT($C$8,"#")</f>
        <v>% de baisse vs 2019</v>
      </c>
      <c r="C30" s="218"/>
      <c r="D30" s="228">
        <f>1-(D29/C29)</f>
        <v>0.88333333333333364</v>
      </c>
      <c r="E30" s="5"/>
      <c r="F30" s="5"/>
    </row>
    <row r="31" spans="1:6" ht="36.6" customHeight="1">
      <c r="B31" s="221" t="str">
        <f>"Variation annuelle moyenne entre " &amp;TEXT($D$8,"#")&amp;" et "&amp;TEXT($C$8,"#")&amp;" "</f>
        <v xml:space="preserve">Variation annuelle moyenne entre 2030 et 2019 </v>
      </c>
      <c r="C31" s="219"/>
      <c r="D31" s="220">
        <f>((D29/C29)^(1/($D$8-$C$8))-1)</f>
        <v>-0.17742220676859966</v>
      </c>
      <c r="E31" s="5"/>
      <c r="F31" s="5"/>
    </row>
    <row r="32" spans="1:6">
      <c r="B32" s="215" t="s">
        <v>358</v>
      </c>
      <c r="C32" s="260"/>
      <c r="D32" s="226"/>
      <c r="E32" s="5"/>
      <c r="F32" s="5"/>
    </row>
    <row r="33" spans="1:7" ht="22.95" customHeight="1">
      <c r="B33" s="216" t="s">
        <v>212</v>
      </c>
      <c r="C33" s="218">
        <f>VLOOKUP($B$32,'Résultats détaillés GES'!$A$24:$AP$35,MATCH(C$8,'Résultats détaillés GES'!$A$24:$AP$24),FALSE)</f>
        <v>0.11556875148091968</v>
      </c>
      <c r="D33" s="218">
        <f>VLOOKUP($B$32,'Résultats détaillés GES'!$A$24:$AP$35,MATCH(D$8,'Résultats détaillés GES'!$A$24:$AP$24),FALSE)</f>
        <v>0.78717978972535818</v>
      </c>
      <c r="E33" s="5"/>
      <c r="F33" s="5"/>
    </row>
    <row r="34" spans="1:7" ht="22.95" customHeight="1">
      <c r="A34" t="s">
        <v>228</v>
      </c>
      <c r="B34" s="216" t="str">
        <f>"% de baisse vs "&amp;TEXT($C$8,"#")</f>
        <v>% de baisse vs 2019</v>
      </c>
      <c r="C34" s="218"/>
      <c r="D34" s="228">
        <f>1-(D33/C33)</f>
        <v>-5.811354969559579</v>
      </c>
      <c r="E34" s="5"/>
      <c r="F34" s="5"/>
    </row>
    <row r="35" spans="1:7" ht="38.4" customHeight="1">
      <c r="B35" s="221" t="str">
        <f>"Variation annuelle moyenne entre " &amp;TEXT($D$8,"#")&amp;" et "&amp;TEXT($C$8,"#")&amp;" "</f>
        <v xml:space="preserve">Variation annuelle moyenne entre 2030 et 2019 </v>
      </c>
      <c r="C35" s="219"/>
      <c r="D35" s="220">
        <f>((D33/C33)^(1/($D$8-$C$8))-1)</f>
        <v>0.19055236276229537</v>
      </c>
      <c r="E35" s="5"/>
      <c r="F35" s="5"/>
    </row>
    <row r="36" spans="1:7">
      <c r="B36" s="215" t="s">
        <v>359</v>
      </c>
      <c r="C36" s="260"/>
      <c r="D36" s="226"/>
      <c r="E36" s="5"/>
      <c r="F36" s="5"/>
    </row>
    <row r="37" spans="1:7" ht="22.95" customHeight="1">
      <c r="B37" s="216" t="s">
        <v>212</v>
      </c>
      <c r="C37" s="218">
        <f>VLOOKUP($B$36,'Résultats détaillés GES'!$A$24:$AP$35,MATCH(C$8,'Résultats détaillés GES'!$A$24:$AP$24),FALSE)</f>
        <v>1.5830693952813211</v>
      </c>
      <c r="D37" s="218">
        <f>VLOOKUP($B$36,'Résultats détaillés GES'!$A$24:$AP$35,MATCH(D$8,'Résultats détaillés GES'!$A$24:$AP$24),FALSE)</f>
        <v>1.0389246671487262</v>
      </c>
      <c r="E37" s="5"/>
      <c r="F37" s="5"/>
    </row>
    <row r="38" spans="1:7" ht="22.95" customHeight="1">
      <c r="A38" t="s">
        <v>228</v>
      </c>
      <c r="B38" s="216" t="str">
        <f>"% de baisse vs "&amp;TEXT($C$8,"#")</f>
        <v>% de baisse vs 2019</v>
      </c>
      <c r="C38" s="218"/>
      <c r="D38" s="228">
        <f>1-(D37/C37)</f>
        <v>0.34372765322514309</v>
      </c>
      <c r="E38" s="5"/>
      <c r="F38" s="5"/>
    </row>
    <row r="39" spans="1:7" ht="32.4" customHeight="1">
      <c r="B39" s="221" t="str">
        <f>"Variation annuelle moyenne entre " &amp;TEXT($D$8,"#")&amp;" et "&amp;TEXT($C$8,"#")&amp;" "</f>
        <v xml:space="preserve">Variation annuelle moyenne entre 2030 et 2019 </v>
      </c>
      <c r="C39" s="219"/>
      <c r="D39" s="220">
        <f>((D37/C37)^(1/($D$8-$C$8))-1)</f>
        <v>-3.7565279121689055E-2</v>
      </c>
      <c r="E39" s="5"/>
      <c r="F39" s="5"/>
    </row>
    <row r="40" spans="1:7">
      <c r="B40" s="215" t="s">
        <v>360</v>
      </c>
      <c r="C40" s="260"/>
      <c r="D40" s="226"/>
      <c r="E40" s="5"/>
      <c r="F40" s="5"/>
    </row>
    <row r="41" spans="1:7" ht="22.95" customHeight="1">
      <c r="B41" s="216" t="s">
        <v>212</v>
      </c>
      <c r="C41" s="218">
        <f>C9-C13-C17-C21-C25-C29-C33-C37-C45</f>
        <v>1.1836474929296514E-3</v>
      </c>
      <c r="D41" s="218">
        <f>D9-D13-D17-D21-D25-D29-D33-D37-D45</f>
        <v>0</v>
      </c>
      <c r="E41" s="5"/>
      <c r="F41" s="5"/>
    </row>
    <row r="42" spans="1:7" ht="22.95" customHeight="1">
      <c r="A42" t="s">
        <v>228</v>
      </c>
      <c r="B42" s="216" t="str">
        <f>"% de baisse vs "&amp;TEXT($C$8,"#")</f>
        <v>% de baisse vs 2019</v>
      </c>
      <c r="C42" s="219"/>
      <c r="D42" s="228">
        <f>1-(D41/C41)</f>
        <v>1</v>
      </c>
      <c r="E42" s="5"/>
      <c r="F42" s="5"/>
    </row>
    <row r="43" spans="1:7" ht="34.200000000000003" customHeight="1">
      <c r="B43" s="221" t="str">
        <f>"Variation annuelle moyenne entre " &amp;TEXT($D$8,"#")&amp;" et "&amp;TEXT($C$8,"#")&amp;" "</f>
        <v xml:space="preserve">Variation annuelle moyenne entre 2030 et 2019 </v>
      </c>
      <c r="C43" s="219"/>
      <c r="D43" s="220">
        <f>((D41/C41)^(1/($D$8-$C$8))-1)</f>
        <v>-1</v>
      </c>
      <c r="E43" s="5"/>
      <c r="F43" s="5"/>
    </row>
    <row r="44" spans="1:7">
      <c r="B44" s="215" t="s">
        <v>99</v>
      </c>
      <c r="C44" s="225"/>
      <c r="D44" s="226"/>
      <c r="E44" s="5"/>
      <c r="F44" s="5"/>
    </row>
    <row r="45" spans="1:7" ht="22.95" customHeight="1">
      <c r="B45" s="216" t="s">
        <v>212</v>
      </c>
      <c r="C45" s="218">
        <f>VLOOKUP($B$44,'Résultats détaillés GES'!$A$24:$AP$35,MATCH(C$8,'Résultats détaillés GES'!$A$24:$AP$24),FALSE)</f>
        <v>7.329422020891716</v>
      </c>
      <c r="D45" s="218">
        <f>VLOOKUP($B$44,'Résultats détaillés GES'!$A$24:$AP$35,MATCH(D$8,'Résultats détaillés GES'!$A$24:$AP$24),FALSE)</f>
        <v>5.8221193324350891</v>
      </c>
      <c r="E45" s="5"/>
      <c r="F45" s="5"/>
    </row>
    <row r="46" spans="1:7" ht="22.95" customHeight="1">
      <c r="A46" t="s">
        <v>228</v>
      </c>
      <c r="B46" s="216" t="str">
        <f>"% de baisse vs "&amp;TEXT($C$8,"#")</f>
        <v>% de baisse vs 2019</v>
      </c>
      <c r="C46" s="218"/>
      <c r="D46" s="228">
        <f>1-(D45/C45)</f>
        <v>0.20565096185759602</v>
      </c>
      <c r="E46" s="5"/>
      <c r="F46" s="5"/>
    </row>
    <row r="47" spans="1:7" ht="31.2" customHeight="1">
      <c r="B47" s="221" t="str">
        <f>"Variation annuelle moyenne entre " &amp;TEXT($D$8,"#")&amp;" et "&amp;TEXT($C$8,"#")&amp;" "</f>
        <v xml:space="preserve">Variation annuelle moyenne entre 2030 et 2019 </v>
      </c>
      <c r="C47" s="219"/>
      <c r="D47" s="220">
        <f>((D45/C45)^(1/($D$8-$C$8))-1)</f>
        <v>-2.0712694216953209E-2</v>
      </c>
      <c r="E47" s="5"/>
      <c r="F47" s="5"/>
    </row>
    <row r="48" spans="1:7" ht="31.2" customHeight="1">
      <c r="B48" s="61"/>
      <c r="D48" s="7"/>
      <c r="E48" s="7"/>
      <c r="F48" s="5"/>
      <c r="G48" s="5"/>
    </row>
    <row r="49" spans="2:7">
      <c r="B49" s="215" t="s">
        <v>361</v>
      </c>
      <c r="C49" s="225"/>
      <c r="D49" s="226"/>
      <c r="E49" s="5"/>
      <c r="F49" s="5"/>
    </row>
    <row r="50" spans="2:7" ht="22.95" customHeight="1">
      <c r="B50" s="216" t="s">
        <v>212</v>
      </c>
      <c r="C50" s="261">
        <f>VLOOKUP($B$49,'Résultats détaillés GES'!$A$152:$AP$156,MATCH(C$8,'Résultats détaillés GES'!$A$152:$AP$152),FALSE)</f>
        <v>169.87278247924104</v>
      </c>
      <c r="D50" s="261">
        <f>VLOOKUP($B$49,'Résultats détaillés GES'!$A$152:$AP$156,MATCH(D$8,'Résultats détaillés GES'!$A$152:$AP$152),FALSE)</f>
        <v>100.6263779527559</v>
      </c>
      <c r="E50" s="5"/>
      <c r="F50" s="5"/>
    </row>
    <row r="51" spans="2:7" ht="22.95" customHeight="1">
      <c r="B51" s="216" t="str">
        <f>"% de baisse vs "&amp;TEXT($C$8,"#")</f>
        <v>% de baisse vs 2019</v>
      </c>
      <c r="C51" s="261"/>
      <c r="D51" s="262">
        <f>1-(D50/C50)</f>
        <v>0.40763684161673897</v>
      </c>
      <c r="E51" s="5"/>
      <c r="F51" s="5"/>
    </row>
    <row r="52" spans="2:7" ht="38.4" customHeight="1">
      <c r="B52" s="221" t="str">
        <f>"Variation annuelle moyenne entre " &amp;TEXT($D$8,"#")&amp;" et "&amp;TEXT($C$8,"#")&amp;" "</f>
        <v xml:space="preserve">Variation annuelle moyenne entre 2030 et 2019 </v>
      </c>
      <c r="C52" s="263"/>
      <c r="D52" s="264">
        <f>((D50/C50)^(1/($D$8-$C$8))-1)</f>
        <v>-4.6487950770109032E-2</v>
      </c>
      <c r="E52" s="5"/>
      <c r="F52" s="5"/>
    </row>
    <row r="53" spans="2:7" ht="22.95" customHeight="1">
      <c r="B53" s="215" t="s">
        <v>362</v>
      </c>
      <c r="C53" s="265"/>
      <c r="D53" s="266"/>
      <c r="E53" s="5"/>
      <c r="F53" s="5"/>
    </row>
    <row r="54" spans="2:7" ht="22.95" customHeight="1">
      <c r="B54" s="216" t="s">
        <v>212</v>
      </c>
      <c r="C54" s="261">
        <f>VLOOKUP($B$53,'Résultats détaillés GES'!$A$152:$AP$156,MATCH(C$8,'Résultats détaillés GES'!$A$152:$AP$152),FALSE)</f>
        <v>107.13905417051831</v>
      </c>
      <c r="D54" s="261">
        <f>VLOOKUP($B$53,'Résultats détaillés GES'!$A$152:$AP$156,MATCH(D$8,'Résultats détaillés GES'!$A$152:$AP$152),FALSE)</f>
        <v>73.563111972855054</v>
      </c>
      <c r="E54" s="5"/>
      <c r="F54" s="5"/>
    </row>
    <row r="55" spans="2:7" ht="22.95" customHeight="1">
      <c r="B55" s="216" t="str">
        <f>"% de baisse vs "&amp;TEXT($C$8,"#")</f>
        <v>% de baisse vs 2019</v>
      </c>
      <c r="C55" s="261"/>
      <c r="D55" s="262">
        <f>1-(D54/C54)</f>
        <v>0.31338658398295272</v>
      </c>
      <c r="E55" s="5"/>
      <c r="F55" s="5"/>
    </row>
    <row r="56" spans="2:7" ht="36.6" customHeight="1">
      <c r="B56" s="221" t="str">
        <f>"Variation annuelle moyenne entre " &amp;TEXT($D$8,"#")&amp;" et "&amp;TEXT($C$8,"#")&amp;" "</f>
        <v xml:space="preserve">Variation annuelle moyenne entre 2030 et 2019 </v>
      </c>
      <c r="C56" s="263"/>
      <c r="D56" s="264">
        <f>((D54/C54)^(1/($D$8-$C$8))-1)</f>
        <v>-3.3602801549655226E-2</v>
      </c>
      <c r="E56" s="5"/>
      <c r="F56" s="5"/>
    </row>
    <row r="57" spans="2:7" ht="22.95" customHeight="1">
      <c r="B57" s="215" t="s">
        <v>363</v>
      </c>
      <c r="C57" s="265"/>
      <c r="D57" s="266"/>
      <c r="E57" s="5"/>
      <c r="F57" s="5"/>
    </row>
    <row r="58" spans="2:7" ht="22.95" customHeight="1">
      <c r="B58" s="216" t="s">
        <v>212</v>
      </c>
      <c r="C58" s="261">
        <f>VLOOKUP($B$57,'Résultats détaillés GES'!$A$152:$AP$156,MATCH(C$8,'Résultats détaillés GES'!$A$152:$AP$152),FALSE)</f>
        <v>9.8742704455320478</v>
      </c>
      <c r="D58" s="261">
        <f>VLOOKUP($B$57,'Résultats détaillés GES'!$A$152:$AP$156,MATCH(D$8,'Résultats détaillés GES'!$A$152:$AP$152),FALSE)</f>
        <v>2.9586206896551723</v>
      </c>
      <c r="E58" s="5"/>
      <c r="F58" s="5"/>
    </row>
    <row r="59" spans="2:7" ht="22.95" customHeight="1">
      <c r="B59" s="216" t="str">
        <f>"% de baisse vs "&amp;TEXT($C$8,"#")</f>
        <v>% de baisse vs 2019</v>
      </c>
      <c r="C59" s="261"/>
      <c r="D59" s="262">
        <f>1-(D58/C58)</f>
        <v>0.70037070526117695</v>
      </c>
      <c r="E59" s="5"/>
      <c r="F59" s="5"/>
    </row>
    <row r="60" spans="2:7" ht="40.200000000000003" customHeight="1">
      <c r="B60" s="221" t="str">
        <f>"Variation annuelle moyenne entre " &amp;TEXT($D$8,"#")&amp;" et "&amp;TEXT($C$8,"#")&amp;" "</f>
        <v xml:space="preserve">Variation annuelle moyenne entre 2030 et 2019 </v>
      </c>
      <c r="C60" s="263"/>
      <c r="D60" s="264">
        <f>((D58/C58)^(1/($D$8-$C$8))-1)</f>
        <v>-0.10377562381764571</v>
      </c>
      <c r="E60" s="5"/>
      <c r="F60" s="5"/>
    </row>
    <row r="61" spans="2:7" ht="22.95" customHeight="1">
      <c r="B61" s="60"/>
      <c r="C61" s="62"/>
      <c r="D61" s="63"/>
      <c r="E61" s="63"/>
      <c r="F61" s="5"/>
      <c r="G61" s="5"/>
    </row>
    <row r="62" spans="2:7">
      <c r="B62" s="29" t="s">
        <v>226</v>
      </c>
    </row>
    <row r="63" spans="2:7" ht="28.2" customHeight="1">
      <c r="B63" s="58"/>
      <c r="C63" s="57"/>
    </row>
    <row r="64" spans="2:7" ht="36" customHeight="1">
      <c r="B64" s="192" t="str">
        <f>"Baisse globale entre "&amp;TEXT($D$8,"#")&amp;" et "&amp;TEXT($C$8,"#")&amp;" "</f>
        <v xml:space="preserve">Baisse globale entre 2030 et 2019 </v>
      </c>
      <c r="C64" s="412">
        <f>D10</f>
        <v>0.40721586087351214</v>
      </c>
      <c r="D64" s="412"/>
      <c r="E64" s="412"/>
    </row>
    <row r="65" spans="2:6" ht="36" customHeight="1">
      <c r="B65" s="192" t="s">
        <v>229</v>
      </c>
      <c r="C65" s="406" t="s">
        <v>364</v>
      </c>
      <c r="D65" s="406"/>
      <c r="E65" s="406"/>
    </row>
    <row r="66" spans="2:6" ht="45" customHeight="1">
      <c r="B66" s="413" t="s">
        <v>201</v>
      </c>
      <c r="C66" s="411" t="s">
        <v>365</v>
      </c>
      <c r="D66" s="411"/>
      <c r="E66" s="411"/>
    </row>
    <row r="67" spans="2:6" ht="45" customHeight="1">
      <c r="B67" s="414"/>
      <c r="C67" s="386" t="s">
        <v>366</v>
      </c>
      <c r="D67" s="386"/>
      <c r="E67" s="386"/>
    </row>
    <row r="68" spans="2:6" ht="45" customHeight="1">
      <c r="B68" s="194" t="s">
        <v>202</v>
      </c>
      <c r="C68" s="386" t="s">
        <v>367</v>
      </c>
      <c r="D68" s="386"/>
      <c r="E68" s="386"/>
    </row>
    <row r="69" spans="2:6" ht="45" customHeight="1">
      <c r="B69" s="194" t="s">
        <v>203</v>
      </c>
      <c r="C69" s="411" t="s">
        <v>368</v>
      </c>
      <c r="D69" s="411"/>
      <c r="E69" s="411"/>
    </row>
    <row r="70" spans="2:6" ht="45" customHeight="1">
      <c r="B70" s="194" t="s">
        <v>204</v>
      </c>
      <c r="C70" s="410" t="s">
        <v>369</v>
      </c>
      <c r="D70" s="410"/>
      <c r="E70" s="410"/>
    </row>
    <row r="73" spans="2:6">
      <c r="B73" s="45" t="s">
        <v>242</v>
      </c>
    </row>
    <row r="76" spans="2:6">
      <c r="B76" s="267" t="s">
        <v>244</v>
      </c>
      <c r="C76" s="268">
        <v>2019</v>
      </c>
      <c r="D76" s="268">
        <v>2030</v>
      </c>
      <c r="E76" s="211" t="s">
        <v>245</v>
      </c>
      <c r="F76" s="211" t="s">
        <v>246</v>
      </c>
    </row>
    <row r="77" spans="2:6" ht="57.6">
      <c r="B77" s="278" t="s">
        <v>370</v>
      </c>
      <c r="C77" s="218">
        <v>34.422721172331244</v>
      </c>
      <c r="D77" s="218">
        <v>12.004838221953433</v>
      </c>
      <c r="E77" s="284" t="s">
        <v>371</v>
      </c>
      <c r="F77" s="285" t="s">
        <v>372</v>
      </c>
    </row>
    <row r="78" spans="2:6" ht="57.6">
      <c r="B78" s="278" t="s">
        <v>373</v>
      </c>
      <c r="C78" s="218">
        <v>26.447195809082771</v>
      </c>
      <c r="D78" s="218">
        <v>11.768302002139693</v>
      </c>
      <c r="E78" s="284" t="s">
        <v>371</v>
      </c>
      <c r="F78" s="285" t="s">
        <v>372</v>
      </c>
    </row>
    <row r="79" spans="2:6">
      <c r="B79" s="278" t="s">
        <v>374</v>
      </c>
      <c r="C79" s="218">
        <f>0.0397720279201426*1000</f>
        <v>39.772027920142605</v>
      </c>
      <c r="D79" s="218">
        <f>0.0207933569037031*1000</f>
        <v>20.793356903703099</v>
      </c>
      <c r="E79" s="284" t="s">
        <v>371</v>
      </c>
      <c r="F79" s="285"/>
    </row>
    <row r="80" spans="2:6">
      <c r="B80" s="280" t="s">
        <v>92</v>
      </c>
      <c r="C80" s="218">
        <v>117.97520661157026</v>
      </c>
      <c r="D80" s="218">
        <v>59.993260190418695</v>
      </c>
      <c r="E80" s="284" t="s">
        <v>371</v>
      </c>
      <c r="F80" s="285" t="s">
        <v>375</v>
      </c>
    </row>
    <row r="81" spans="2:6" ht="57.6">
      <c r="B81" s="280" t="s">
        <v>376</v>
      </c>
      <c r="C81" s="218">
        <v>59.3125</v>
      </c>
      <c r="D81" s="218">
        <v>58.996934877775061</v>
      </c>
      <c r="E81" s="284" t="s">
        <v>371</v>
      </c>
      <c r="F81" s="285" t="s">
        <v>377</v>
      </c>
    </row>
    <row r="82" spans="2:6">
      <c r="B82" s="278" t="s">
        <v>99</v>
      </c>
      <c r="C82" s="218">
        <v>0.50694444444444442</v>
      </c>
      <c r="D82" s="218">
        <v>0.48517661103625742</v>
      </c>
      <c r="E82" s="284" t="s">
        <v>378</v>
      </c>
      <c r="F82" s="285"/>
    </row>
  </sheetData>
  <mergeCells count="9">
    <mergeCell ref="C70:E70"/>
    <mergeCell ref="C69:E69"/>
    <mergeCell ref="C68:E68"/>
    <mergeCell ref="B6:E6"/>
    <mergeCell ref="C64:E64"/>
    <mergeCell ref="C67:E67"/>
    <mergeCell ref="C66:E66"/>
    <mergeCell ref="C65:E65"/>
    <mergeCell ref="B66:B67"/>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49"/>
  <sheetViews>
    <sheetView showGridLines="0" topLeftCell="C53" zoomScale="80" zoomScaleNormal="80" workbookViewId="0">
      <selection activeCell="L48" sqref="L48"/>
    </sheetView>
  </sheetViews>
  <sheetFormatPr baseColWidth="10" defaultColWidth="11.44140625" defaultRowHeight="14.4"/>
  <cols>
    <col min="2" max="2" width="40.44140625" customWidth="1"/>
    <col min="3" max="5" width="30.6640625" customWidth="1"/>
    <col min="6" max="6" width="21.6640625" customWidth="1"/>
    <col min="7" max="7" width="23.6640625" customWidth="1"/>
    <col min="10" max="10" width="51.6640625" customWidth="1"/>
  </cols>
  <sheetData>
    <row r="3" spans="2:6">
      <c r="B3" s="45" t="s">
        <v>209</v>
      </c>
    </row>
    <row r="4" spans="2:6">
      <c r="E4" s="48"/>
    </row>
    <row r="5" spans="2:6">
      <c r="D5" s="28"/>
      <c r="E5" s="28"/>
    </row>
    <row r="6" spans="2:6">
      <c r="B6" s="384" t="s">
        <v>210</v>
      </c>
      <c r="C6" s="384"/>
      <c r="D6" s="384"/>
      <c r="E6" s="384"/>
    </row>
    <row r="7" spans="2:6">
      <c r="B7" s="19"/>
      <c r="C7" s="19"/>
      <c r="D7" s="3"/>
      <c r="E7" s="19"/>
    </row>
    <row r="8" spans="2:6" ht="52.2" customHeight="1">
      <c r="B8" s="237" t="s">
        <v>101</v>
      </c>
      <c r="C8" s="238">
        <f>'Choix années'!$C$4</f>
        <v>2019</v>
      </c>
      <c r="D8" s="238">
        <f>'Choix années'!$C$5</f>
        <v>2030</v>
      </c>
      <c r="E8" s="4"/>
      <c r="F8" s="4"/>
    </row>
    <row r="9" spans="2:6" ht="22.95" customHeight="1">
      <c r="B9" s="235" t="s">
        <v>212</v>
      </c>
      <c r="C9" s="239">
        <f>C13+C17+C21+C25+C29+C33</f>
        <v>-18.226970308104232</v>
      </c>
      <c r="D9" s="239">
        <f t="shared" ref="D9" si="0">D13+D17+D21+D25+D29+D33</f>
        <v>-18.119362585806982</v>
      </c>
      <c r="E9" s="5"/>
      <c r="F9" s="5"/>
    </row>
    <row r="10" spans="2:6" ht="30" customHeight="1">
      <c r="B10" s="235" t="str">
        <f>"% de baisse vs "&amp;TEXT($C$8,"#")</f>
        <v>% de baisse vs 2019</v>
      </c>
      <c r="C10" s="235"/>
      <c r="D10" s="240">
        <f>1-(D9/C9)</f>
        <v>5.9037635151797385E-3</v>
      </c>
    </row>
    <row r="11" spans="2:6" ht="30" customHeight="1">
      <c r="B11" s="209" t="str">
        <f>"Variation annuelle moyenne entre " &amp;TEXT($D$8,"#")&amp;" et "&amp;TEXT($C$8,"#")&amp;" "</f>
        <v xml:space="preserve">Variation annuelle moyenne entre 2030 et 2019 </v>
      </c>
      <c r="C11" s="235"/>
      <c r="D11" s="240">
        <f>((D9/C9)^(1/($D$8-$C$8))-1)</f>
        <v>-5.3815147387914486E-4</v>
      </c>
    </row>
    <row r="12" spans="2:6">
      <c r="B12" s="215" t="s">
        <v>102</v>
      </c>
      <c r="C12" s="216"/>
      <c r="D12" s="217"/>
    </row>
    <row r="13" spans="2:6" ht="47.4" customHeight="1">
      <c r="B13" s="216" t="s">
        <v>212</v>
      </c>
      <c r="C13" s="218">
        <f>VLOOKUP($B$12,'Résultats détaillés GES'!$A$138:$AP$147,MATCH(C$8,'Résultats détaillés GES'!$A$138:$AP$138),FALSE)</f>
        <v>-28.761812082471906</v>
      </c>
      <c r="D13" s="218">
        <f>VLOOKUP($B$12,'Résultats détaillés GES'!$A$138:$AP$147,MATCH(D$8,'Résultats détaillés GES'!$A$138:$AP$138),FALSE)</f>
        <v>-15.683566913509949</v>
      </c>
      <c r="E13" s="5"/>
      <c r="F13" s="5"/>
    </row>
    <row r="14" spans="2:6" ht="35.700000000000003" customHeight="1">
      <c r="B14" s="216" t="str">
        <f>"% de baisse vs "&amp;TEXT($C$8,"#")</f>
        <v>% de baisse vs 2019</v>
      </c>
      <c r="C14" s="218"/>
      <c r="D14" s="220">
        <f>1-(D13/C13)</f>
        <v>0.45470866479000926</v>
      </c>
      <c r="E14" s="5"/>
      <c r="F14" s="5"/>
    </row>
    <row r="15" spans="2:6" ht="35.700000000000003" customHeight="1">
      <c r="B15" s="221" t="str">
        <f>"Variation annuelle moyenne entre " &amp;TEXT($D$8,"#")&amp;" et "&amp;TEXT($C$8,"#")&amp;" "</f>
        <v xml:space="preserve">Variation annuelle moyenne entre 2030 et 2019 </v>
      </c>
      <c r="C15" s="219"/>
      <c r="D15" s="220">
        <f>((D13/C13)^(1/($D$8-$C$8))-1)</f>
        <v>-5.3638323057914161E-2</v>
      </c>
      <c r="E15" s="5"/>
      <c r="F15" s="5"/>
    </row>
    <row r="16" spans="2:6" ht="35.700000000000003" customHeight="1">
      <c r="B16" s="215" t="s">
        <v>103</v>
      </c>
      <c r="C16" s="257"/>
      <c r="D16" s="217"/>
      <c r="E16" s="5"/>
      <c r="F16" s="5"/>
    </row>
    <row r="17" spans="1:6" ht="39" customHeight="1">
      <c r="B17" s="216" t="s">
        <v>212</v>
      </c>
      <c r="C17" s="218">
        <f>VLOOKUP("Terres cultivées",'Résultats détaillés GES'!$A$138:$AP$147,MATCH(C$8,'Résultats détaillés GES'!$A$138:$AP$138),FALSE)+VLOOKUP("Prairies",'Résultats détaillés GES'!$A$138:$AP$147,MATCH(C$8,'Résultats détaillés GES'!$A$138:$AP$138),FALSE)</f>
        <v>5.8109478476627734</v>
      </c>
      <c r="D17" s="218">
        <f>VLOOKUP("Terres cultivées",'Résultats détaillés GES'!$A$138:$AP$147,MATCH(D$8,'Résultats détaillés GES'!$A$138:$AP$138),FALSE)+VLOOKUP("Prairies",'Résultats détaillés GES'!$A$138:$AP$147,MATCH(D$8,'Résultats détaillés GES'!$A$138:$AP$138),FALSE)</f>
        <v>2.2487695016377387</v>
      </c>
      <c r="E17" s="5"/>
      <c r="F17" s="5"/>
    </row>
    <row r="18" spans="1:6" ht="25.5" customHeight="1">
      <c r="B18" s="216" t="str">
        <f>"% de baisse vs "&amp;TEXT($C$8,"#")</f>
        <v>% de baisse vs 2019</v>
      </c>
      <c r="C18" s="258"/>
      <c r="D18" s="223">
        <f>1-(D17/C17)</f>
        <v>0.61301158423884017</v>
      </c>
      <c r="E18" s="5"/>
      <c r="F18" s="5"/>
    </row>
    <row r="19" spans="1:6" ht="33.6" customHeight="1">
      <c r="B19" s="221" t="str">
        <f>"Variation annuelle moyenne entre " &amp;TEXT($D$8,"#")&amp;" et "&amp;TEXT($C$8,"#")&amp;" "</f>
        <v xml:space="preserve">Variation annuelle moyenne entre 2030 et 2019 </v>
      </c>
      <c r="C19" s="219"/>
      <c r="D19" s="220">
        <f>((D17/C17)^(1/($D$8-$C$8))-1)</f>
        <v>-8.2686052656203213E-2</v>
      </c>
      <c r="E19" s="5"/>
      <c r="F19" s="5"/>
    </row>
    <row r="20" spans="1:6" ht="35.700000000000003" customHeight="1">
      <c r="B20" s="241" t="s">
        <v>104</v>
      </c>
      <c r="C20" s="257"/>
      <c r="D20" s="216"/>
      <c r="E20" s="5"/>
      <c r="F20" s="5"/>
    </row>
    <row r="21" spans="1:6" ht="47.4" customHeight="1">
      <c r="B21" s="216" t="s">
        <v>212</v>
      </c>
      <c r="C21" s="218">
        <f>VLOOKUP($B$20,'Résultats détaillés GES'!$A$138:$AP$147,MATCH(C$8,'Résultats détaillés GES'!$A$138:$AP$138),FALSE)</f>
        <v>0.57706503545557997</v>
      </c>
      <c r="D21" s="218">
        <f>VLOOKUP($B$20,'Résultats détaillés GES'!$A$138:$AP$147,MATCH(D$8,'Résultats détaillés GES'!$A$138:$AP$138),FALSE)</f>
        <v>0.51901031425354027</v>
      </c>
      <c r="E21" s="5"/>
      <c r="F21" s="5"/>
    </row>
    <row r="22" spans="1:6" ht="33" customHeight="1">
      <c r="A22" t="s">
        <v>228</v>
      </c>
      <c r="B22" s="216" t="str">
        <f>"% de baisse vs "&amp;TEXT($C$8,"#")</f>
        <v>% de baisse vs 2019</v>
      </c>
      <c r="C22" s="259"/>
      <c r="D22" s="224">
        <f>1-(D21/C21)</f>
        <v>0.10060342879066786</v>
      </c>
      <c r="E22" s="5"/>
      <c r="F22" s="5"/>
    </row>
    <row r="23" spans="1:6" ht="33" customHeight="1">
      <c r="B23" s="221" t="str">
        <f>"Variation annuelle moyenne entre " &amp;TEXT($D$8,"#")&amp;" et "&amp;TEXT($C$8,"#")&amp;" "</f>
        <v xml:space="preserve">Variation annuelle moyenne entre 2030 et 2019 </v>
      </c>
      <c r="C23" s="219"/>
      <c r="D23" s="220">
        <f>((D21/C21)^(1/($D$8-$C$8))-1)</f>
        <v>-9.5928933495689206E-3</v>
      </c>
      <c r="E23" s="5"/>
      <c r="F23" s="5"/>
    </row>
    <row r="24" spans="1:6" ht="26.4" customHeight="1">
      <c r="B24" s="215" t="s">
        <v>105</v>
      </c>
      <c r="C24" s="257"/>
      <c r="D24" s="216"/>
      <c r="E24" s="5"/>
      <c r="F24" s="5"/>
    </row>
    <row r="25" spans="1:6" ht="22.95" customHeight="1">
      <c r="B25" s="216" t="s">
        <v>212</v>
      </c>
      <c r="C25" s="218">
        <f>VLOOKUP($B$24,'Résultats détaillés GES'!$A$138:$AP$147,MATCH(C$8,'Résultats détaillés GES'!$A$138:$AP$138),FALSE)</f>
        <v>4.506825302564339</v>
      </c>
      <c r="D25" s="218">
        <f>VLOOKUP($B$24,'Résultats détaillés GES'!$A$138:$AP$147,MATCH(D$8,'Résultats détaillés GES'!$A$138:$AP$138),FALSE)</f>
        <v>3.3329442673568779</v>
      </c>
      <c r="E25" s="5"/>
      <c r="F25" s="5"/>
    </row>
    <row r="26" spans="1:6" ht="22.95" customHeight="1">
      <c r="A26" t="s">
        <v>228</v>
      </c>
      <c r="B26" s="216" t="str">
        <f>"% de baisse vs "&amp;TEXT($C$8,"#")</f>
        <v>% de baisse vs 2019</v>
      </c>
      <c r="C26" s="259"/>
      <c r="D26" s="224">
        <f>1-(D25/C25)</f>
        <v>0.26046739254337958</v>
      </c>
      <c r="E26" s="5"/>
      <c r="F26" s="5"/>
    </row>
    <row r="27" spans="1:6" ht="32.4" customHeight="1">
      <c r="B27" s="221" t="str">
        <f>"Variation annuelle moyenne entre " &amp;TEXT($D$8,"#")&amp;" et "&amp;TEXT($C$8,"#")&amp;" "</f>
        <v xml:space="preserve">Variation annuelle moyenne entre 2030 et 2019 </v>
      </c>
      <c r="C27" s="219"/>
      <c r="D27" s="220">
        <f>((D25/C25)^(1/($D$8-$C$8))-1)</f>
        <v>-2.7057824478602832E-2</v>
      </c>
      <c r="E27" s="5"/>
      <c r="F27" s="5"/>
    </row>
    <row r="28" spans="1:6">
      <c r="B28" s="215" t="s">
        <v>207</v>
      </c>
      <c r="C28" s="260"/>
      <c r="D28" s="226"/>
      <c r="E28" s="5"/>
      <c r="F28" s="5"/>
    </row>
    <row r="29" spans="1:6" ht="22.95" customHeight="1">
      <c r="B29" s="216" t="s">
        <v>212</v>
      </c>
      <c r="C29" s="218">
        <f>VLOOKUP($B$28,'Résultats détaillés GES'!$A$138:$AP$147,MATCH(C$8,'Résultats détaillés GES'!$A$138:$AP$138),FALSE)</f>
        <v>-0.74371185143501906</v>
      </c>
      <c r="D29" s="218">
        <f>VLOOKUP($B$28,'Résultats détaillés GES'!$A$138:$AP$147,MATCH(D$8,'Résultats détaillés GES'!$A$138:$AP$138),FALSE)</f>
        <v>-8.8833126249505234</v>
      </c>
      <c r="E29" s="5"/>
      <c r="F29" s="5"/>
    </row>
    <row r="30" spans="1:6" ht="22.95" customHeight="1">
      <c r="A30" t="s">
        <v>228</v>
      </c>
      <c r="B30" s="216" t="str">
        <f>"% de baisse vs "&amp;TEXT($C$8,"#")</f>
        <v>% de baisse vs 2019</v>
      </c>
      <c r="C30" s="218"/>
      <c r="D30" s="228">
        <f>1-(D29/C29)</f>
        <v>-10.944562410575882</v>
      </c>
      <c r="E30" s="5"/>
      <c r="F30" s="5"/>
    </row>
    <row r="31" spans="1:6" ht="36.6" customHeight="1">
      <c r="B31" s="221" t="str">
        <f>"Variation annuelle moyenne entre " &amp;TEXT($D$8,"#")&amp;" et "&amp;TEXT($C$8,"#")&amp;" "</f>
        <v xml:space="preserve">Variation annuelle moyenne entre 2030 et 2019 </v>
      </c>
      <c r="C31" s="219"/>
      <c r="D31" s="220">
        <f>((D29/C29)^(1/($D$8-$C$8))-1)</f>
        <v>0.25292353645487164</v>
      </c>
      <c r="E31" s="5"/>
      <c r="F31" s="5"/>
    </row>
    <row r="32" spans="1:6">
      <c r="B32" s="215" t="s">
        <v>379</v>
      </c>
      <c r="C32" s="260"/>
      <c r="D32" s="226"/>
      <c r="E32" s="5"/>
      <c r="F32" s="5"/>
    </row>
    <row r="33" spans="1:6" ht="22.95" customHeight="1">
      <c r="B33" s="216" t="s">
        <v>212</v>
      </c>
      <c r="C33" s="218">
        <f>VLOOKUP("Autres terres",'Résultats détaillés GES'!$A$138:$AP$147,MATCH(C$8,'Résultats détaillés GES'!$A$138:$AP$138),FALSE)+VLOOKUP("Barrages",'Résultats détaillés GES'!$A$138:$AP$147,MATCH(C$8,'Résultats détaillés GES'!$A$138:$AP$138),FALSE)</f>
        <v>0.38371544011999992</v>
      </c>
      <c r="D33" s="218">
        <f>VLOOKUP("Autres terres",'Résultats détaillés GES'!$A$138:$AP$147,MATCH(D$8,'Résultats détaillés GES'!$A$138:$AP$138),FALSE)+VLOOKUP("Barrages",'Résultats détaillés GES'!$A$138:$AP$147,MATCH(D$8,'Résultats détaillés GES'!$A$138:$AP$138),FALSE)</f>
        <v>0.34679286940533333</v>
      </c>
      <c r="E33" s="5"/>
      <c r="F33" s="5"/>
    </row>
    <row r="34" spans="1:6" ht="22.95" customHeight="1">
      <c r="A34" t="s">
        <v>228</v>
      </c>
      <c r="B34" s="216" t="str">
        <f>"% de baisse vs "&amp;TEXT($C$8,"#")</f>
        <v>% de baisse vs 2019</v>
      </c>
      <c r="C34" s="218"/>
      <c r="D34" s="228">
        <f>1-(D33/C33)</f>
        <v>9.6223833742837495E-2</v>
      </c>
      <c r="E34" s="5"/>
      <c r="F34" s="5"/>
    </row>
    <row r="35" spans="1:6" ht="38.4" customHeight="1">
      <c r="B35" s="221" t="str">
        <f>"Variation annuelle moyenne entre " &amp;TEXT($D$8,"#")&amp;" et "&amp;TEXT($C$8,"#")&amp;" "</f>
        <v xml:space="preserve">Variation annuelle moyenne entre 2030 et 2019 </v>
      </c>
      <c r="C35" s="219"/>
      <c r="D35" s="220">
        <f>((D33/C33)^(1/($D$8-$C$8))-1)</f>
        <v>-9.1554272208592691E-3</v>
      </c>
      <c r="E35" s="5"/>
      <c r="F35" s="5"/>
    </row>
    <row r="42" spans="1:6">
      <c r="B42" s="198" t="s">
        <v>229</v>
      </c>
      <c r="C42" s="406" t="s">
        <v>364</v>
      </c>
      <c r="D42" s="406"/>
      <c r="E42" s="406"/>
    </row>
    <row r="43" spans="1:6" ht="40.200000000000003" customHeight="1">
      <c r="B43" s="413" t="s">
        <v>206</v>
      </c>
      <c r="C43" s="410" t="s">
        <v>380</v>
      </c>
      <c r="D43" s="410"/>
      <c r="E43" s="410"/>
    </row>
    <row r="44" spans="1:6" ht="31.2" customHeight="1">
      <c r="B44" s="414"/>
      <c r="C44" s="410" t="s">
        <v>381</v>
      </c>
      <c r="D44" s="410"/>
      <c r="E44" s="410"/>
    </row>
    <row r="45" spans="1:6" ht="38.4" customHeight="1">
      <c r="B45" s="413" t="s">
        <v>207</v>
      </c>
      <c r="C45" s="386" t="s">
        <v>382</v>
      </c>
      <c r="D45" s="386"/>
      <c r="E45" s="386"/>
    </row>
    <row r="46" spans="1:6" ht="31.2" customHeight="1">
      <c r="B46" s="418"/>
      <c r="C46" s="415" t="s">
        <v>383</v>
      </c>
      <c r="D46" s="416"/>
      <c r="E46" s="417"/>
    </row>
    <row r="47" spans="1:6" ht="33.6" customHeight="1">
      <c r="B47" s="418"/>
      <c r="C47" s="415" t="s">
        <v>384</v>
      </c>
      <c r="D47" s="416"/>
      <c r="E47" s="417"/>
    </row>
    <row r="48" spans="1:6" ht="36.6" customHeight="1">
      <c r="B48" s="414"/>
      <c r="C48" s="415" t="s">
        <v>385</v>
      </c>
      <c r="D48" s="416"/>
      <c r="E48" s="417"/>
    </row>
    <row r="49" spans="2:5" ht="42" customHeight="1">
      <c r="B49" s="194" t="s">
        <v>208</v>
      </c>
      <c r="C49" s="410" t="s">
        <v>386</v>
      </c>
      <c r="D49" s="410"/>
      <c r="E49" s="410"/>
    </row>
  </sheetData>
  <mergeCells count="11">
    <mergeCell ref="B6:E6"/>
    <mergeCell ref="C42:E42"/>
    <mergeCell ref="B43:B44"/>
    <mergeCell ref="C43:E43"/>
    <mergeCell ref="C45:E45"/>
    <mergeCell ref="C49:E49"/>
    <mergeCell ref="C44:E44"/>
    <mergeCell ref="C48:E48"/>
    <mergeCell ref="B45:B48"/>
    <mergeCell ref="C46:E46"/>
    <mergeCell ref="C47:E47"/>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57"/>
  <sheetViews>
    <sheetView showGridLines="0" zoomScale="70" zoomScaleNormal="70" workbookViewId="0">
      <selection activeCell="A75" sqref="A75:XFD77"/>
    </sheetView>
  </sheetViews>
  <sheetFormatPr baseColWidth="10" defaultColWidth="11.44140625" defaultRowHeight="14.4" outlineLevelCol="1"/>
  <cols>
    <col min="3" max="6" width="0" hidden="1" customWidth="1" outlineLevel="1"/>
    <col min="7" max="7" width="11.5546875" collapsed="1"/>
    <col min="8" max="11" width="0" hidden="1" customWidth="1" outlineLevel="1"/>
    <col min="12" max="12" width="11.5546875" collapsed="1"/>
    <col min="13" max="16" width="0" hidden="1" customWidth="1" outlineLevel="1"/>
    <col min="17" max="17" width="11.5546875" collapsed="1"/>
    <col min="18" max="21" width="0" hidden="1" customWidth="1" outlineLevel="1"/>
    <col min="22" max="22" width="11.5546875" collapsed="1"/>
    <col min="23" max="26" width="0" hidden="1" customWidth="1" outlineLevel="1"/>
    <col min="27" max="27" width="11.5546875" collapsed="1"/>
  </cols>
  <sheetData>
    <row r="1" spans="1:42" ht="25.8">
      <c r="A1" s="64" t="s">
        <v>388</v>
      </c>
      <c r="B1" s="65" t="s">
        <v>389</v>
      </c>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row>
    <row r="2" spans="1:42" ht="15">
      <c r="A2" s="419" t="s">
        <v>390</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67"/>
      <c r="AE2" s="67"/>
      <c r="AF2" s="67"/>
      <c r="AG2" s="67"/>
      <c r="AH2" s="67"/>
    </row>
    <row r="3" spans="1:42" ht="15">
      <c r="A3" s="68" t="s">
        <v>391</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row>
    <row r="4" spans="1:42" ht="22.2">
      <c r="A4" s="69"/>
      <c r="B4" s="70"/>
      <c r="C4" s="70"/>
      <c r="D4" s="70"/>
      <c r="E4" s="70"/>
      <c r="F4" s="70"/>
      <c r="G4" s="70"/>
      <c r="H4" s="70"/>
      <c r="I4" s="70"/>
      <c r="J4" s="70"/>
      <c r="K4" s="70"/>
      <c r="L4" s="70"/>
      <c r="M4" s="70"/>
      <c r="N4" s="70"/>
      <c r="O4" s="70"/>
      <c r="P4" s="70"/>
      <c r="Q4" s="70"/>
      <c r="R4" s="70"/>
      <c r="S4" s="70"/>
      <c r="T4" s="70"/>
      <c r="U4" s="70"/>
      <c r="V4" s="70"/>
      <c r="W4" s="70"/>
      <c r="X4" s="70"/>
      <c r="Y4" s="70"/>
      <c r="Z4" s="71"/>
      <c r="AA4" s="71"/>
      <c r="AB4" s="71"/>
      <c r="AC4" s="72"/>
      <c r="AD4" s="72"/>
      <c r="AE4" s="72"/>
      <c r="AF4" s="72"/>
      <c r="AG4" s="72"/>
      <c r="AH4" s="72"/>
    </row>
    <row r="5" spans="1:42" ht="18">
      <c r="A5" s="73" t="s">
        <v>392</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426" t="s">
        <v>393</v>
      </c>
      <c r="AJ5" s="426"/>
      <c r="AK5" s="426"/>
      <c r="AL5" s="426"/>
      <c r="AM5" s="426"/>
      <c r="AN5" s="426"/>
      <c r="AO5" s="426"/>
      <c r="AP5" s="426"/>
    </row>
    <row r="6" spans="1:42" ht="105.6">
      <c r="A6" s="75" t="s">
        <v>394</v>
      </c>
      <c r="B6" s="76">
        <v>1990</v>
      </c>
      <c r="C6" s="76">
        <v>1991</v>
      </c>
      <c r="D6" s="76">
        <v>1992</v>
      </c>
      <c r="E6" s="76">
        <v>1993</v>
      </c>
      <c r="F6" s="76">
        <v>1994</v>
      </c>
      <c r="G6" s="76">
        <v>1995</v>
      </c>
      <c r="H6" s="76">
        <v>1996</v>
      </c>
      <c r="I6" s="76">
        <v>1997</v>
      </c>
      <c r="J6" s="76">
        <v>1998</v>
      </c>
      <c r="K6" s="76">
        <v>1999</v>
      </c>
      <c r="L6" s="76">
        <v>2000</v>
      </c>
      <c r="M6" s="76">
        <v>2001</v>
      </c>
      <c r="N6" s="76">
        <v>2002</v>
      </c>
      <c r="O6" s="76">
        <v>2003</v>
      </c>
      <c r="P6" s="76">
        <v>2004</v>
      </c>
      <c r="Q6" s="76">
        <v>2005</v>
      </c>
      <c r="R6" s="76">
        <v>2006</v>
      </c>
      <c r="S6" s="76">
        <v>2007</v>
      </c>
      <c r="T6" s="76">
        <v>2008</v>
      </c>
      <c r="U6" s="76">
        <v>2009</v>
      </c>
      <c r="V6" s="76">
        <v>2010</v>
      </c>
      <c r="W6" s="76">
        <v>2011</v>
      </c>
      <c r="X6" s="76">
        <v>2012</v>
      </c>
      <c r="Y6" s="76">
        <v>2013</v>
      </c>
      <c r="Z6" s="76">
        <v>2014</v>
      </c>
      <c r="AA6" s="76">
        <v>2015</v>
      </c>
      <c r="AB6" s="76">
        <v>2016</v>
      </c>
      <c r="AC6" s="76">
        <v>2017</v>
      </c>
      <c r="AD6" s="76">
        <v>2018</v>
      </c>
      <c r="AE6" s="76">
        <v>2019</v>
      </c>
      <c r="AF6" s="77">
        <v>2020</v>
      </c>
      <c r="AG6" s="77">
        <v>2021</v>
      </c>
      <c r="AH6" s="77" t="s">
        <v>395</v>
      </c>
      <c r="AI6" s="76">
        <v>2023</v>
      </c>
      <c r="AJ6" s="152">
        <v>2024</v>
      </c>
      <c r="AK6" s="76">
        <v>2025</v>
      </c>
      <c r="AL6" s="152">
        <v>2026</v>
      </c>
      <c r="AM6" s="152">
        <v>2027</v>
      </c>
      <c r="AN6" s="76">
        <v>2028</v>
      </c>
      <c r="AO6" s="152">
        <v>2029</v>
      </c>
      <c r="AP6" s="76">
        <v>2030</v>
      </c>
    </row>
    <row r="7" spans="1:42">
      <c r="A7" s="78" t="s">
        <v>396</v>
      </c>
      <c r="B7" s="79">
        <v>78.851201522943356</v>
      </c>
      <c r="C7" s="79">
        <v>80.089495084818935</v>
      </c>
      <c r="D7" s="79">
        <v>81.3578319182363</v>
      </c>
      <c r="E7" s="79">
        <v>69.065977158493553</v>
      </c>
      <c r="F7" s="79">
        <v>65.973570180888402</v>
      </c>
      <c r="G7" s="79">
        <v>68.50239581066765</v>
      </c>
      <c r="H7" s="79">
        <v>72.081708125220118</v>
      </c>
      <c r="I7" s="79">
        <v>67.707549519576872</v>
      </c>
      <c r="J7" s="79">
        <v>80.069139393560803</v>
      </c>
      <c r="K7" s="79">
        <v>73.100209451558868</v>
      </c>
      <c r="L7" s="79">
        <v>71.718051889541542</v>
      </c>
      <c r="M7" s="79">
        <v>64.836417871918471</v>
      </c>
      <c r="N7" s="79">
        <v>67.332304791932714</v>
      </c>
      <c r="O7" s="79">
        <v>70.734231462327926</v>
      </c>
      <c r="P7" s="79">
        <v>69.275713667227691</v>
      </c>
      <c r="Q7" s="79">
        <v>74.385913214815147</v>
      </c>
      <c r="R7" s="79">
        <v>70.229081553979299</v>
      </c>
      <c r="S7" s="79">
        <v>69.787143334641854</v>
      </c>
      <c r="T7" s="79">
        <v>68.915255533501863</v>
      </c>
      <c r="U7" s="79">
        <v>66.762967882374923</v>
      </c>
      <c r="V7" s="79">
        <v>66.984821443675528</v>
      </c>
      <c r="W7" s="79">
        <v>61.195692064501657</v>
      </c>
      <c r="X7" s="79">
        <v>62.877745343307261</v>
      </c>
      <c r="Y7" s="79">
        <v>60.838441238747471</v>
      </c>
      <c r="Z7" s="79">
        <v>47.198488636813977</v>
      </c>
      <c r="AA7" s="79">
        <v>49.956407013777536</v>
      </c>
      <c r="AB7" s="79">
        <v>53.546044808878392</v>
      </c>
      <c r="AC7" s="79">
        <v>57.306329719075279</v>
      </c>
      <c r="AD7" s="79">
        <v>47.982936798889199</v>
      </c>
      <c r="AE7" s="79">
        <v>46.237279599615874</v>
      </c>
      <c r="AF7" s="79">
        <v>41.26644373686787</v>
      </c>
      <c r="AG7" s="79">
        <v>42.490917208115498</v>
      </c>
      <c r="AH7" s="79">
        <v>44.575656499266358</v>
      </c>
      <c r="AI7" s="143">
        <v>39.744801213509497</v>
      </c>
      <c r="AJ7" s="143">
        <f>AI7+(AK7-AI7)/2</f>
        <v>35.927332312816468</v>
      </c>
      <c r="AK7" s="143">
        <v>32.109863412123438</v>
      </c>
      <c r="AL7" s="143">
        <f>AK7+(AN7-AK7)/3</f>
        <v>31.145538798006275</v>
      </c>
      <c r="AM7" s="143">
        <f>AK7+(AN7-AK7)*2/3</f>
        <v>30.181214183889111</v>
      </c>
      <c r="AN7" s="143">
        <v>29.216889569771947</v>
      </c>
      <c r="AO7" s="143">
        <f>AN7+(AP7-AN7)/2</f>
        <v>28.312807776390478</v>
      </c>
      <c r="AP7" s="143">
        <v>27.408725983009013</v>
      </c>
    </row>
    <row r="8" spans="1:42">
      <c r="A8" s="78" t="s">
        <v>397</v>
      </c>
      <c r="B8" s="79">
        <v>139.41235708110617</v>
      </c>
      <c r="C8" s="79">
        <v>151.89183646121165</v>
      </c>
      <c r="D8" s="79">
        <v>139.88142431020884</v>
      </c>
      <c r="E8" s="79">
        <v>134.65960850739339</v>
      </c>
      <c r="F8" s="79">
        <v>135.64050632397675</v>
      </c>
      <c r="G8" s="79">
        <v>136.15607604219784</v>
      </c>
      <c r="H8" s="79">
        <v>138.34134201870756</v>
      </c>
      <c r="I8" s="79">
        <v>137.13826234046226</v>
      </c>
      <c r="J8" s="79">
        <v>131.1724301373653</v>
      </c>
      <c r="K8" s="79">
        <v>128.06303646556773</v>
      </c>
      <c r="L8" s="79">
        <v>124.85290712402379</v>
      </c>
      <c r="M8" s="79">
        <v>128.12295387179074</v>
      </c>
      <c r="N8" s="79">
        <v>124.11357638132556</v>
      </c>
      <c r="O8" s="79">
        <v>122.73969097349925</v>
      </c>
      <c r="P8" s="79">
        <v>117.38966772560711</v>
      </c>
      <c r="Q8" s="79">
        <v>118.1411825548013</v>
      </c>
      <c r="R8" s="79">
        <v>117.12223885958227</v>
      </c>
      <c r="S8" s="79">
        <v>115.91151385782084</v>
      </c>
      <c r="T8" s="79">
        <v>108.80246303875371</v>
      </c>
      <c r="U8" s="79">
        <v>89.62857906276021</v>
      </c>
      <c r="V8" s="79">
        <v>95.520772479518413</v>
      </c>
      <c r="W8" s="79">
        <v>91.040917341922935</v>
      </c>
      <c r="X8" s="79">
        <v>87.509972619775681</v>
      </c>
      <c r="Y8" s="79">
        <v>88.70397293702483</v>
      </c>
      <c r="Z8" s="79">
        <v>86.003307762565967</v>
      </c>
      <c r="AA8" s="79">
        <v>83.687003346046325</v>
      </c>
      <c r="AB8" s="79">
        <v>83.202542373971468</v>
      </c>
      <c r="AC8" s="79">
        <v>82.886589807512323</v>
      </c>
      <c r="AD8" s="79">
        <v>82.798768827183423</v>
      </c>
      <c r="AE8" s="79">
        <v>79.778832154130399</v>
      </c>
      <c r="AF8" s="79">
        <v>72.046643272841251</v>
      </c>
      <c r="AG8" s="79">
        <v>77.952642915577499</v>
      </c>
      <c r="AH8" s="79">
        <v>72.973903494554136</v>
      </c>
      <c r="AI8" s="143">
        <v>66.833003016278866</v>
      </c>
      <c r="AJ8" s="143">
        <f t="shared" ref="AJ8:AJ17" si="0">AI8+(AK8-AI8)/2</f>
        <v>65.818539566838936</v>
      </c>
      <c r="AK8" s="143">
        <v>64.804076117399006</v>
      </c>
      <c r="AL8" s="143">
        <f t="shared" ref="AL8:AL17" si="1">AK8+(AN8-AK8)/3</f>
        <v>60.903096761643404</v>
      </c>
      <c r="AM8" s="143">
        <f t="shared" ref="AM8:AM17" si="2">AK8+(AN8-AK8)*2/3</f>
        <v>57.002117405887795</v>
      </c>
      <c r="AN8" s="143">
        <v>53.101138050132192</v>
      </c>
      <c r="AO8" s="143">
        <f t="shared" ref="AO8:AO17" si="3">AN8+(AP8-AN8)/2</f>
        <v>49.127336652628344</v>
      </c>
      <c r="AP8" s="143">
        <v>45.153535255124496</v>
      </c>
    </row>
    <row r="9" spans="1:42">
      <c r="A9" s="78" t="s">
        <v>398</v>
      </c>
      <c r="B9" s="79">
        <v>15.770500330939136</v>
      </c>
      <c r="C9" s="79">
        <v>16.468495880893951</v>
      </c>
      <c r="D9" s="79">
        <v>17.264753464479298</v>
      </c>
      <c r="E9" s="79">
        <v>18.042974555578333</v>
      </c>
      <c r="F9" s="79">
        <v>18.419108154598117</v>
      </c>
      <c r="G9" s="79">
        <v>18.651170325664058</v>
      </c>
      <c r="H9" s="79">
        <v>18.695998212074795</v>
      </c>
      <c r="I9" s="79">
        <v>18.681611957475901</v>
      </c>
      <c r="J9" s="79">
        <v>19.1124385056983</v>
      </c>
      <c r="K9" s="79">
        <v>19.378616199401673</v>
      </c>
      <c r="L9" s="79">
        <v>19.812340613448242</v>
      </c>
      <c r="M9" s="79">
        <v>20.073386913730545</v>
      </c>
      <c r="N9" s="79">
        <v>20.362196092657904</v>
      </c>
      <c r="O9" s="79">
        <v>20.533715042717422</v>
      </c>
      <c r="P9" s="79">
        <v>20.418612805411303</v>
      </c>
      <c r="Q9" s="79">
        <v>20.292105762995352</v>
      </c>
      <c r="R9" s="79">
        <v>20.283782489098403</v>
      </c>
      <c r="S9" s="79">
        <v>20.213333900025191</v>
      </c>
      <c r="T9" s="79">
        <v>20.21771546003006</v>
      </c>
      <c r="U9" s="79">
        <v>19.547204614496206</v>
      </c>
      <c r="V9" s="79">
        <v>19.579477559989542</v>
      </c>
      <c r="W9" s="79">
        <v>18.653526759741251</v>
      </c>
      <c r="X9" s="79">
        <v>18.273111030418388</v>
      </c>
      <c r="Y9" s="79">
        <v>16.672992188259389</v>
      </c>
      <c r="Z9" s="79">
        <v>16.007408068360196</v>
      </c>
      <c r="AA9" s="79">
        <v>14.99033872945709</v>
      </c>
      <c r="AB9" s="79">
        <v>15.011350247701023</v>
      </c>
      <c r="AC9" s="79">
        <v>15.092676641243161</v>
      </c>
      <c r="AD9" s="79">
        <v>14.821750017243469</v>
      </c>
      <c r="AE9" s="79">
        <v>16.019293332765596</v>
      </c>
      <c r="AF9" s="79">
        <v>15.927552933943513</v>
      </c>
      <c r="AG9" s="79">
        <v>15.208792660157037</v>
      </c>
      <c r="AH9" s="79">
        <v>15.177474564019846</v>
      </c>
      <c r="AI9" s="143">
        <v>14.483086336937879</v>
      </c>
      <c r="AJ9" s="143">
        <f t="shared" si="0"/>
        <v>12.898454074279163</v>
      </c>
      <c r="AK9" s="143">
        <v>11.313821811620448</v>
      </c>
      <c r="AL9" s="143">
        <f t="shared" si="1"/>
        <v>10.120160986193293</v>
      </c>
      <c r="AM9" s="143">
        <f t="shared" si="2"/>
        <v>8.9265001607661354</v>
      </c>
      <c r="AN9" s="143">
        <v>7.7328393353389799</v>
      </c>
      <c r="AO9" s="143">
        <f t="shared" si="3"/>
        <v>7.4699410518241924</v>
      </c>
      <c r="AP9" s="143">
        <v>7.2070427683094049</v>
      </c>
    </row>
    <row r="10" spans="1:42">
      <c r="A10" s="78" t="s">
        <v>399</v>
      </c>
      <c r="B10" s="79">
        <v>93.260689221763727</v>
      </c>
      <c r="C10" s="79">
        <v>102.93219823486508</v>
      </c>
      <c r="D10" s="79">
        <v>99.120230637979859</v>
      </c>
      <c r="E10" s="80">
        <v>95.513849768590987</v>
      </c>
      <c r="F10" s="80">
        <v>89.059077711411476</v>
      </c>
      <c r="G10" s="80">
        <v>88.948881790761988</v>
      </c>
      <c r="H10" s="80">
        <v>98.907077163937004</v>
      </c>
      <c r="I10" s="80">
        <v>94.04857827123088</v>
      </c>
      <c r="J10" s="80">
        <v>98.784996781182485</v>
      </c>
      <c r="K10" s="80">
        <v>100.60751151728044</v>
      </c>
      <c r="L10" s="80">
        <v>97.024923338045738</v>
      </c>
      <c r="M10" s="80">
        <v>102.79276585543705</v>
      </c>
      <c r="N10" s="80">
        <v>98.475008610353086</v>
      </c>
      <c r="O10" s="80">
        <v>104.09060246987438</v>
      </c>
      <c r="P10" s="80">
        <v>108.88701782332834</v>
      </c>
      <c r="Q10" s="80">
        <v>107.82482104120537</v>
      </c>
      <c r="R10" s="80">
        <v>103.28177282979703</v>
      </c>
      <c r="S10" s="80">
        <v>95.916023080444347</v>
      </c>
      <c r="T10" s="80">
        <v>103.04965952513334</v>
      </c>
      <c r="U10" s="80">
        <v>105.15014068165027</v>
      </c>
      <c r="V10" s="80">
        <v>103.98852184732254</v>
      </c>
      <c r="W10" s="80">
        <v>89.322990792020192</v>
      </c>
      <c r="X10" s="80">
        <v>95.664593485743538</v>
      </c>
      <c r="Y10" s="80">
        <v>98.034366180462214</v>
      </c>
      <c r="Z10" s="80">
        <v>81.848654988509153</v>
      </c>
      <c r="AA10" s="80">
        <v>84.846037464203107</v>
      </c>
      <c r="AB10" s="80">
        <v>84.777680419645819</v>
      </c>
      <c r="AC10" s="80">
        <v>84.06281953009551</v>
      </c>
      <c r="AD10" s="80">
        <v>79.047162180152426</v>
      </c>
      <c r="AE10" s="80">
        <v>76.038242817806392</v>
      </c>
      <c r="AF10" s="80">
        <v>71.317464878882802</v>
      </c>
      <c r="AG10" s="80">
        <v>75.09014094169649</v>
      </c>
      <c r="AH10" s="80">
        <v>64.024935205589898</v>
      </c>
      <c r="AI10" s="143">
        <v>65.040735694861326</v>
      </c>
      <c r="AJ10" s="143">
        <f t="shared" si="0"/>
        <v>60.343781502778711</v>
      </c>
      <c r="AK10" s="143">
        <v>55.646827310696104</v>
      </c>
      <c r="AL10" s="143">
        <f t="shared" si="1"/>
        <v>51.368279874185575</v>
      </c>
      <c r="AM10" s="143">
        <f t="shared" si="2"/>
        <v>47.089732437675039</v>
      </c>
      <c r="AN10" s="143">
        <v>42.81118500116451</v>
      </c>
      <c r="AO10" s="143">
        <f t="shared" si="3"/>
        <v>38.788680915107875</v>
      </c>
      <c r="AP10" s="143">
        <v>34.766176829051233</v>
      </c>
    </row>
    <row r="11" spans="1:42">
      <c r="A11" s="78" t="s">
        <v>400</v>
      </c>
      <c r="B11" s="79">
        <v>88.297176459010771</v>
      </c>
      <c r="C11" s="79">
        <v>87.390854815917621</v>
      </c>
      <c r="D11" s="79">
        <v>87.06720273885918</v>
      </c>
      <c r="E11" s="79">
        <v>85.91645449221943</v>
      </c>
      <c r="F11" s="79">
        <v>85.034511623715943</v>
      </c>
      <c r="G11" s="79">
        <v>85.708998949922403</v>
      </c>
      <c r="H11" s="79">
        <v>86.605311680057994</v>
      </c>
      <c r="I11" s="79">
        <v>86.666545195023161</v>
      </c>
      <c r="J11" s="79">
        <v>86.890664437805256</v>
      </c>
      <c r="K11" s="79">
        <v>87.293814862750423</v>
      </c>
      <c r="L11" s="79">
        <v>89.664947201193954</v>
      </c>
      <c r="M11" s="79">
        <v>89.388723478670073</v>
      </c>
      <c r="N11" s="79">
        <v>87.629753115998554</v>
      </c>
      <c r="O11" s="79">
        <v>84.434271384023134</v>
      </c>
      <c r="P11" s="79">
        <v>85.615608462086982</v>
      </c>
      <c r="Q11" s="79">
        <v>84.863378960538526</v>
      </c>
      <c r="R11" s="79">
        <v>84.057222555191913</v>
      </c>
      <c r="S11" s="79">
        <v>84.373719458314781</v>
      </c>
      <c r="T11" s="79">
        <v>86.167156630300951</v>
      </c>
      <c r="U11" s="79">
        <v>85.173015052701729</v>
      </c>
      <c r="V11" s="79">
        <v>83.095108293638134</v>
      </c>
      <c r="W11" s="79">
        <v>82.779617267877029</v>
      </c>
      <c r="X11" s="79">
        <v>82.012467470898414</v>
      </c>
      <c r="Y11" s="79">
        <v>81.963010452880582</v>
      </c>
      <c r="Z11" s="79">
        <v>83.494725441602583</v>
      </c>
      <c r="AA11" s="79">
        <v>83.110580125919128</v>
      </c>
      <c r="AB11" s="79">
        <v>81.690808481434914</v>
      </c>
      <c r="AC11" s="79">
        <v>81.314372586595042</v>
      </c>
      <c r="AD11" s="79">
        <v>80.438063869247728</v>
      </c>
      <c r="AE11" s="79">
        <v>78.615927276214677</v>
      </c>
      <c r="AF11" s="79">
        <v>78.244410458031737</v>
      </c>
      <c r="AG11" s="79">
        <v>76.506547700675526</v>
      </c>
      <c r="AH11" s="79">
        <v>76.524914543828885</v>
      </c>
      <c r="AI11" s="143">
        <v>75.023429404278247</v>
      </c>
      <c r="AJ11" s="143">
        <f t="shared" si="0"/>
        <v>73.808860676781123</v>
      </c>
      <c r="AK11" s="143">
        <v>72.594291949283999</v>
      </c>
      <c r="AL11" s="143">
        <f t="shared" si="1"/>
        <v>71.357588608554551</v>
      </c>
      <c r="AM11" s="143">
        <f t="shared" si="2"/>
        <v>70.120885267825102</v>
      </c>
      <c r="AN11" s="143">
        <v>68.884181927095653</v>
      </c>
      <c r="AO11" s="143">
        <f t="shared" si="3"/>
        <v>67.705243355307857</v>
      </c>
      <c r="AP11" s="143">
        <v>66.526304783520075</v>
      </c>
    </row>
    <row r="12" spans="1:42">
      <c r="A12" s="78" t="s">
        <v>387</v>
      </c>
      <c r="B12" s="79">
        <v>123.69646039406891</v>
      </c>
      <c r="C12" s="79">
        <v>126.42884371786208</v>
      </c>
      <c r="D12" s="79">
        <v>130.78156763130275</v>
      </c>
      <c r="E12" s="79">
        <v>130.99877362122658</v>
      </c>
      <c r="F12" s="79">
        <v>131.90261849624085</v>
      </c>
      <c r="G12" s="79">
        <v>133.88378404019733</v>
      </c>
      <c r="H12" s="79">
        <v>135.59309330613246</v>
      </c>
      <c r="I12" s="79">
        <v>138.33947855919013</v>
      </c>
      <c r="J12" s="79">
        <v>140.79104371073279</v>
      </c>
      <c r="K12" s="79">
        <v>143.36589390274318</v>
      </c>
      <c r="L12" s="79">
        <v>143.06307335964024</v>
      </c>
      <c r="M12" s="79">
        <v>146.2651978620892</v>
      </c>
      <c r="N12" s="79">
        <v>147.17240713856847</v>
      </c>
      <c r="O12" s="79">
        <v>146.80120754778733</v>
      </c>
      <c r="P12" s="79">
        <v>147.29823799056228</v>
      </c>
      <c r="Q12" s="79">
        <v>144.90542108251478</v>
      </c>
      <c r="R12" s="79">
        <v>144.73935606813097</v>
      </c>
      <c r="S12" s="79">
        <v>143.55289521978446</v>
      </c>
      <c r="T12" s="79">
        <v>137.15816096490443</v>
      </c>
      <c r="U12" s="79">
        <v>136.66216689725044</v>
      </c>
      <c r="V12" s="79">
        <v>137.6527972967786</v>
      </c>
      <c r="W12" s="79">
        <v>138.7164756745934</v>
      </c>
      <c r="X12" s="79">
        <v>137.20236582693357</v>
      </c>
      <c r="Y12" s="79">
        <v>136.79509673132964</v>
      </c>
      <c r="Z12" s="79">
        <v>136.47978249898918</v>
      </c>
      <c r="AA12" s="79">
        <v>137.89691172907587</v>
      </c>
      <c r="AB12" s="79">
        <v>138.13458476276023</v>
      </c>
      <c r="AC12" s="79">
        <v>138.28712500517776</v>
      </c>
      <c r="AD12" s="79">
        <v>135.27741605391481</v>
      </c>
      <c r="AE12" s="79">
        <v>134.37001989682375</v>
      </c>
      <c r="AF12" s="79">
        <v>113.52614045160404</v>
      </c>
      <c r="AG12" s="79">
        <v>127.55138878729174</v>
      </c>
      <c r="AH12" s="79">
        <v>130.49440981472242</v>
      </c>
      <c r="AI12" s="143">
        <v>122.17137397836429</v>
      </c>
      <c r="AJ12" s="143">
        <f t="shared" si="0"/>
        <v>118.8986668237532</v>
      </c>
      <c r="AK12" s="143">
        <v>115.62595966914212</v>
      </c>
      <c r="AL12" s="143">
        <f t="shared" si="1"/>
        <v>110.52607796755362</v>
      </c>
      <c r="AM12" s="143">
        <f t="shared" si="2"/>
        <v>105.42619626596512</v>
      </c>
      <c r="AN12" s="143">
        <v>100.32631456437662</v>
      </c>
      <c r="AO12" s="143">
        <f t="shared" si="3"/>
        <v>95.351733369940945</v>
      </c>
      <c r="AP12" s="143">
        <v>90.377152175505259</v>
      </c>
    </row>
    <row r="13" spans="1:42">
      <c r="A13" s="81" t="s">
        <v>401</v>
      </c>
      <c r="B13" s="82">
        <v>16.913893873234155</v>
      </c>
      <c r="C13" s="82">
        <v>16.864013331866303</v>
      </c>
      <c r="D13" s="82">
        <v>18.060636078640332</v>
      </c>
      <c r="E13" s="82">
        <v>18.116903627555896</v>
      </c>
      <c r="F13" s="82">
        <v>17.667323452037515</v>
      </c>
      <c r="G13" s="82">
        <v>17.934944212612354</v>
      </c>
      <c r="H13" s="82">
        <v>18.999417744455418</v>
      </c>
      <c r="I13" s="82">
        <v>20.073826626399011</v>
      </c>
      <c r="J13" s="82">
        <v>21.669463423240693</v>
      </c>
      <c r="K13" s="82">
        <v>23.103723075011846</v>
      </c>
      <c r="L13" s="82">
        <v>23.905724020706568</v>
      </c>
      <c r="M13" s="82">
        <v>22.551473064735518</v>
      </c>
      <c r="N13" s="82">
        <v>22.396532534058448</v>
      </c>
      <c r="O13" s="82">
        <v>23.208912670141281</v>
      </c>
      <c r="P13" s="82">
        <v>25.421604560531886</v>
      </c>
      <c r="Q13" s="82">
        <v>24.832017117193725</v>
      </c>
      <c r="R13" s="82">
        <v>26.054264091334257</v>
      </c>
      <c r="S13" s="82">
        <v>26.931091139498243</v>
      </c>
      <c r="T13" s="82">
        <v>25.920764914505128</v>
      </c>
      <c r="U13" s="82">
        <v>24.477255514759761</v>
      </c>
      <c r="V13" s="82">
        <v>24.319685953310724</v>
      </c>
      <c r="W13" s="82">
        <v>25.73534876384754</v>
      </c>
      <c r="X13" s="82">
        <v>24.834769573787021</v>
      </c>
      <c r="Y13" s="82">
        <v>24.015829324723256</v>
      </c>
      <c r="Z13" s="82">
        <v>23.113597042642045</v>
      </c>
      <c r="AA13" s="82">
        <v>23.389689849993726</v>
      </c>
      <c r="AB13" s="82">
        <v>22.803932884444734</v>
      </c>
      <c r="AC13" s="82">
        <v>23.395370209906144</v>
      </c>
      <c r="AD13" s="82">
        <v>24.67768267427131</v>
      </c>
      <c r="AE13" s="82">
        <v>24.788154499257928</v>
      </c>
      <c r="AF13" s="82">
        <v>11.461953510581546</v>
      </c>
      <c r="AG13" s="82">
        <v>11.996205763908032</v>
      </c>
      <c r="AH13" s="82">
        <v>15.349960176561337</v>
      </c>
      <c r="AI13" s="143">
        <v>18.843019011931375</v>
      </c>
      <c r="AJ13" s="143">
        <f t="shared" si="0"/>
        <v>21.305896364455677</v>
      </c>
      <c r="AK13" s="143">
        <v>23.768773716979975</v>
      </c>
      <c r="AL13" s="143">
        <f t="shared" si="1"/>
        <v>23.72009543742152</v>
      </c>
      <c r="AM13" s="143">
        <f t="shared" si="2"/>
        <v>23.671417157863065</v>
      </c>
      <c r="AN13" s="143">
        <v>23.622738878304609</v>
      </c>
      <c r="AO13" s="143">
        <f t="shared" si="3"/>
        <v>23.574063632724652</v>
      </c>
      <c r="AP13" s="143">
        <v>23.525388387144691</v>
      </c>
    </row>
    <row r="14" spans="1:42">
      <c r="A14" s="83" t="s">
        <v>402</v>
      </c>
      <c r="B14" s="85">
        <v>539.28838500983204</v>
      </c>
      <c r="C14" s="85">
        <v>565.20172419556934</v>
      </c>
      <c r="D14" s="85">
        <v>555.47301070106619</v>
      </c>
      <c r="E14" s="85">
        <v>534.19763810350219</v>
      </c>
      <c r="F14" s="85">
        <v>526.02939249083158</v>
      </c>
      <c r="G14" s="85">
        <v>531.8513069594112</v>
      </c>
      <c r="H14" s="85">
        <v>550.2245305061299</v>
      </c>
      <c r="I14" s="85">
        <v>542.58202584295918</v>
      </c>
      <c r="J14" s="85">
        <v>556.8207129663449</v>
      </c>
      <c r="K14" s="85">
        <v>551.80908239930238</v>
      </c>
      <c r="L14" s="85">
        <v>546.13624352589352</v>
      </c>
      <c r="M14" s="85">
        <v>551.47944585363598</v>
      </c>
      <c r="N14" s="85">
        <v>545.08524613083637</v>
      </c>
      <c r="O14" s="85">
        <v>549.33371888022953</v>
      </c>
      <c r="P14" s="85">
        <v>548.88485847422373</v>
      </c>
      <c r="Q14" s="85">
        <v>550.41282261687047</v>
      </c>
      <c r="R14" s="85">
        <v>539.71345435577996</v>
      </c>
      <c r="S14" s="85">
        <v>529.7546288510315</v>
      </c>
      <c r="T14" s="85">
        <v>524.31041115262428</v>
      </c>
      <c r="U14" s="85">
        <v>502.92407419123379</v>
      </c>
      <c r="V14" s="85">
        <v>506.82149892092275</v>
      </c>
      <c r="W14" s="85">
        <v>481.70921990065642</v>
      </c>
      <c r="X14" s="85">
        <v>483.54025577707682</v>
      </c>
      <c r="Y14" s="85">
        <v>483.0078797287041</v>
      </c>
      <c r="Z14" s="85">
        <v>451.03236739684098</v>
      </c>
      <c r="AA14" s="85">
        <v>454.48727840847903</v>
      </c>
      <c r="AB14" s="85">
        <v>456.36301109439182</v>
      </c>
      <c r="AC14" s="85">
        <v>458.94991328969911</v>
      </c>
      <c r="AD14" s="85">
        <v>440.36609774663106</v>
      </c>
      <c r="AE14" s="85">
        <v>431.05959507735668</v>
      </c>
      <c r="AF14" s="85">
        <v>392.32865573217117</v>
      </c>
      <c r="AG14" s="85">
        <v>414.80043021351378</v>
      </c>
      <c r="AH14" s="84">
        <v>403.77129412198155</v>
      </c>
      <c r="AI14" s="85">
        <v>383.29642964423016</v>
      </c>
      <c r="AJ14" s="85">
        <f t="shared" si="0"/>
        <v>367.69563495724765</v>
      </c>
      <c r="AK14" s="85">
        <v>352.09484027026519</v>
      </c>
      <c r="AL14" s="85">
        <f t="shared" si="1"/>
        <v>335.42074299613677</v>
      </c>
      <c r="AM14" s="85">
        <f t="shared" si="2"/>
        <v>318.74664572200834</v>
      </c>
      <c r="AN14" s="85">
        <v>302.07254844787991</v>
      </c>
      <c r="AO14" s="85">
        <f t="shared" si="3"/>
        <v>286.75574312119966</v>
      </c>
      <c r="AP14" s="85">
        <v>271.43893779451946</v>
      </c>
    </row>
    <row r="15" spans="1:42">
      <c r="A15" s="78" t="s">
        <v>403</v>
      </c>
      <c r="B15" s="79">
        <v>-17.119626253435069</v>
      </c>
      <c r="C15" s="79">
        <v>-17.247320712628841</v>
      </c>
      <c r="D15" s="79">
        <v>-15.018466661254072</v>
      </c>
      <c r="E15" s="79">
        <v>-18.973936384484151</v>
      </c>
      <c r="F15" s="79">
        <v>-17.069347099926816</v>
      </c>
      <c r="G15" s="79">
        <v>-20.166587103189141</v>
      </c>
      <c r="H15" s="79">
        <v>-27.511260441660031</v>
      </c>
      <c r="I15" s="79">
        <v>-29.180937961148796</v>
      </c>
      <c r="J15" s="79">
        <v>-31.671090959551186</v>
      </c>
      <c r="K15" s="79">
        <v>-36.340695175109552</v>
      </c>
      <c r="L15" s="79">
        <v>-20.120230777296026</v>
      </c>
      <c r="M15" s="79">
        <v>-33.735113488781153</v>
      </c>
      <c r="N15" s="79">
        <v>-43.641631181648435</v>
      </c>
      <c r="O15" s="79">
        <v>-48.28600922718104</v>
      </c>
      <c r="P15" s="79">
        <v>-50.292080693555441</v>
      </c>
      <c r="Q15" s="79">
        <v>-50.71076946655085</v>
      </c>
      <c r="R15" s="79">
        <v>-50.750925956889184</v>
      </c>
      <c r="S15" s="79">
        <v>-48.551667346473309</v>
      </c>
      <c r="T15" s="79">
        <v>-47.888027597795045</v>
      </c>
      <c r="U15" s="79">
        <v>-37.849885926489613</v>
      </c>
      <c r="V15" s="79">
        <v>-40.717578429331226</v>
      </c>
      <c r="W15" s="79">
        <v>-42.462426754131634</v>
      </c>
      <c r="X15" s="79">
        <v>-46.872022041125007</v>
      </c>
      <c r="Y15" s="79">
        <v>-45.457541102540063</v>
      </c>
      <c r="Z15" s="79">
        <v>-41.09182216466796</v>
      </c>
      <c r="AA15" s="79">
        <v>-37.004344272742173</v>
      </c>
      <c r="AB15" s="79">
        <v>-30.184153278739004</v>
      </c>
      <c r="AC15" s="79">
        <v>-20.591575805351379</v>
      </c>
      <c r="AD15" s="79">
        <v>-19.651713240185433</v>
      </c>
      <c r="AE15" s="79">
        <v>-18.226970308104239</v>
      </c>
      <c r="AF15" s="79">
        <v>-21.621854947390073</v>
      </c>
      <c r="AG15" s="79">
        <v>-17.055128813153498</v>
      </c>
      <c r="AH15" s="79">
        <v>-16.918815433552901</v>
      </c>
      <c r="AI15" s="144">
        <v>-13.251473518186467</v>
      </c>
      <c r="AJ15" s="143">
        <f t="shared" si="0"/>
        <v>-8.4523712588190492</v>
      </c>
      <c r="AK15" s="144">
        <v>-3.6532689994516301</v>
      </c>
      <c r="AL15" s="143">
        <f t="shared" si="1"/>
        <v>-6.6001222827936683</v>
      </c>
      <c r="AM15" s="143">
        <f t="shared" si="2"/>
        <v>-9.546975566135707</v>
      </c>
      <c r="AN15" s="144">
        <v>-12.493828849477744</v>
      </c>
      <c r="AO15" s="143">
        <f t="shared" si="3"/>
        <v>-15.306595717642363</v>
      </c>
      <c r="AP15" s="144">
        <v>-18.119362585806982</v>
      </c>
    </row>
    <row r="16" spans="1:42">
      <c r="A16" s="81" t="s">
        <v>404</v>
      </c>
      <c r="B16" s="82">
        <v>3.2601149629269623</v>
      </c>
      <c r="C16" s="82">
        <v>3.2789689240696585</v>
      </c>
      <c r="D16" s="82">
        <v>3.378075643397473</v>
      </c>
      <c r="E16" s="82">
        <v>3.2932689856927828</v>
      </c>
      <c r="F16" s="82">
        <v>3.3343834380954314</v>
      </c>
      <c r="G16" s="82">
        <v>3.3393606289325994</v>
      </c>
      <c r="H16" s="82">
        <v>3.3441451024409683</v>
      </c>
      <c r="I16" s="82">
        <v>3.3798217719399961</v>
      </c>
      <c r="J16" s="82">
        <v>3.5176382225624221</v>
      </c>
      <c r="K16" s="82">
        <v>3.5479937217473245</v>
      </c>
      <c r="L16" s="82">
        <v>3.6896160156265219</v>
      </c>
      <c r="M16" s="82">
        <v>3.7178581418281507</v>
      </c>
      <c r="N16" s="82">
        <v>4.3736910498521642</v>
      </c>
      <c r="O16" s="82">
        <v>3.6046172868549098</v>
      </c>
      <c r="P16" s="82">
        <v>3.5129299071756876</v>
      </c>
      <c r="Q16" s="82">
        <v>3.5532598256711965</v>
      </c>
      <c r="R16" s="82">
        <v>3.7061497170701934</v>
      </c>
      <c r="S16" s="82">
        <v>3.7444374503453774</v>
      </c>
      <c r="T16" s="82">
        <v>3.8148447318079883</v>
      </c>
      <c r="U16" s="82">
        <v>3.8851671566989552</v>
      </c>
      <c r="V16" s="82">
        <v>3.9176983500576075</v>
      </c>
      <c r="W16" s="82">
        <v>3.7610016390117926</v>
      </c>
      <c r="X16" s="82">
        <v>3.7894576246390712</v>
      </c>
      <c r="Y16" s="82">
        <v>3.8018355746548758</v>
      </c>
      <c r="Z16" s="82">
        <v>3.8468384354097536</v>
      </c>
      <c r="AA16" s="82">
        <v>3.8511742802570006</v>
      </c>
      <c r="AB16" s="82">
        <v>3.87796956456924</v>
      </c>
      <c r="AC16" s="82">
        <v>3.8833695337118228</v>
      </c>
      <c r="AD16" s="82">
        <v>3.9329942609759208</v>
      </c>
      <c r="AE16" s="82">
        <v>3.9905774413460477</v>
      </c>
      <c r="AF16" s="82">
        <v>3.9227698451444248</v>
      </c>
      <c r="AG16" s="82">
        <v>3.8995732654803228</v>
      </c>
      <c r="AH16" s="82">
        <v>3.8995732654803228</v>
      </c>
      <c r="AI16" s="432" t="s">
        <v>405</v>
      </c>
      <c r="AJ16" s="433"/>
      <c r="AK16" s="433"/>
      <c r="AL16" s="433"/>
      <c r="AM16" s="433"/>
      <c r="AN16" s="433"/>
      <c r="AO16" s="433"/>
      <c r="AP16" s="433"/>
    </row>
    <row r="17" spans="1:42">
      <c r="A17" s="83" t="s">
        <v>406</v>
      </c>
      <c r="B17" s="85">
        <v>522.16875875639698</v>
      </c>
      <c r="C17" s="85">
        <v>547.95440348294051</v>
      </c>
      <c r="D17" s="85">
        <v>540.45454403981216</v>
      </c>
      <c r="E17" s="85">
        <v>515.22370171901798</v>
      </c>
      <c r="F17" s="85">
        <v>508.96004539090478</v>
      </c>
      <c r="G17" s="85">
        <v>511.68471985622205</v>
      </c>
      <c r="H17" s="85">
        <v>522.71327006446984</v>
      </c>
      <c r="I17" s="85">
        <v>513.40108788181044</v>
      </c>
      <c r="J17" s="85">
        <v>525.14962200679372</v>
      </c>
      <c r="K17" s="85">
        <v>515.46838722419284</v>
      </c>
      <c r="L17" s="85">
        <v>526.01601274859752</v>
      </c>
      <c r="M17" s="85">
        <v>517.74433236485481</v>
      </c>
      <c r="N17" s="85">
        <v>501.44361494918792</v>
      </c>
      <c r="O17" s="85">
        <v>501.04770965304851</v>
      </c>
      <c r="P17" s="85">
        <v>498.59277778066831</v>
      </c>
      <c r="Q17" s="85">
        <v>499.70205315031961</v>
      </c>
      <c r="R17" s="85">
        <v>488.96252839889075</v>
      </c>
      <c r="S17" s="85">
        <v>481.20296150455817</v>
      </c>
      <c r="T17" s="85">
        <v>476.42238355482925</v>
      </c>
      <c r="U17" s="85">
        <v>465.07418826474418</v>
      </c>
      <c r="V17" s="85">
        <v>466.10392049159151</v>
      </c>
      <c r="W17" s="85">
        <v>439.24679314652479</v>
      </c>
      <c r="X17" s="85">
        <v>436.66823373595184</v>
      </c>
      <c r="Y17" s="85">
        <v>437.55033862616403</v>
      </c>
      <c r="Z17" s="85">
        <v>409.94054523217301</v>
      </c>
      <c r="AA17" s="85">
        <v>417.48293413573685</v>
      </c>
      <c r="AB17" s="85">
        <v>426.1788578156528</v>
      </c>
      <c r="AC17" s="85">
        <v>438.35833748434771</v>
      </c>
      <c r="AD17" s="85">
        <v>420.71438450644564</v>
      </c>
      <c r="AE17" s="85">
        <v>412.83262476925245</v>
      </c>
      <c r="AF17" s="85">
        <v>370.70680078478108</v>
      </c>
      <c r="AG17" s="85">
        <v>397.74530140036029</v>
      </c>
      <c r="AH17" s="85">
        <v>386.85247868842868</v>
      </c>
      <c r="AI17" s="85">
        <v>370.0449561260437</v>
      </c>
      <c r="AJ17" s="85">
        <f t="shared" si="0"/>
        <v>359.24326369842856</v>
      </c>
      <c r="AK17" s="85">
        <v>348.44157127081348</v>
      </c>
      <c r="AL17" s="85">
        <f t="shared" si="1"/>
        <v>328.82062071334303</v>
      </c>
      <c r="AM17" s="85">
        <f t="shared" si="2"/>
        <v>309.19967015587264</v>
      </c>
      <c r="AN17" s="85">
        <v>289.57871959840219</v>
      </c>
      <c r="AO17" s="85">
        <f t="shared" si="3"/>
        <v>271.44914740355733</v>
      </c>
      <c r="AP17" s="85">
        <v>253.31957520871248</v>
      </c>
    </row>
    <row r="18" spans="1:42">
      <c r="A18" s="81" t="s">
        <v>407</v>
      </c>
      <c r="B18" s="82">
        <v>20.174008836161118</v>
      </c>
      <c r="C18" s="82">
        <v>20.142982255935962</v>
      </c>
      <c r="D18" s="82">
        <v>21.438711722037805</v>
      </c>
      <c r="E18" s="82">
        <v>21.41017261324868</v>
      </c>
      <c r="F18" s="82">
        <v>21.001706890132947</v>
      </c>
      <c r="G18" s="82">
        <v>21.274304841544954</v>
      </c>
      <c r="H18" s="82">
        <v>22.343562846896386</v>
      </c>
      <c r="I18" s="82">
        <v>23.453648398339006</v>
      </c>
      <c r="J18" s="82">
        <v>25.187101645803114</v>
      </c>
      <c r="K18" s="82">
        <v>26.651716796759171</v>
      </c>
      <c r="L18" s="82">
        <v>27.595340036333091</v>
      </c>
      <c r="M18" s="82">
        <v>26.26933120656367</v>
      </c>
      <c r="N18" s="82">
        <v>26.770223583910614</v>
      </c>
      <c r="O18" s="82">
        <v>26.813529956996192</v>
      </c>
      <c r="P18" s="82">
        <v>28.934534467707575</v>
      </c>
      <c r="Q18" s="82">
        <v>28.385276942864923</v>
      </c>
      <c r="R18" s="82">
        <v>29.760413808404451</v>
      </c>
      <c r="S18" s="82">
        <v>30.675528589843619</v>
      </c>
      <c r="T18" s="82">
        <v>29.735609646313115</v>
      </c>
      <c r="U18" s="82">
        <v>28.362422671458717</v>
      </c>
      <c r="V18" s="82">
        <v>28.23738430336833</v>
      </c>
      <c r="W18" s="82">
        <v>29.496350402859331</v>
      </c>
      <c r="X18" s="82">
        <v>28.624227198426091</v>
      </c>
      <c r="Y18" s="82">
        <v>27.817664899378133</v>
      </c>
      <c r="Z18" s="82">
        <v>26.960435478051799</v>
      </c>
      <c r="AA18" s="82">
        <v>27.240864130250728</v>
      </c>
      <c r="AB18" s="82">
        <v>26.681902449013975</v>
      </c>
      <c r="AC18" s="82">
        <v>27.278739743617965</v>
      </c>
      <c r="AD18" s="82">
        <v>28.610676935247231</v>
      </c>
      <c r="AE18" s="82">
        <v>28.778731940603976</v>
      </c>
      <c r="AF18" s="82">
        <v>15.384723355725971</v>
      </c>
      <c r="AG18" s="82">
        <v>15.895779029388354</v>
      </c>
      <c r="AH18" s="82">
        <v>19.24953344204166</v>
      </c>
      <c r="AI18" s="432" t="s">
        <v>405</v>
      </c>
      <c r="AJ18" s="433"/>
      <c r="AK18" s="433"/>
      <c r="AL18" s="433"/>
      <c r="AM18" s="433"/>
      <c r="AN18" s="433"/>
      <c r="AO18" s="433"/>
      <c r="AP18" s="433"/>
    </row>
    <row r="19" spans="1:42">
      <c r="A19" s="86"/>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6"/>
    </row>
    <row r="20" spans="1:42">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8"/>
      <c r="AE20" s="86"/>
      <c r="AF20" s="86"/>
      <c r="AG20" s="86"/>
      <c r="AH20" s="86"/>
    </row>
    <row r="21" spans="1:42" ht="18">
      <c r="A21" s="73" t="s">
        <v>408</v>
      </c>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431" t="s">
        <v>393</v>
      </c>
      <c r="AJ21" s="431"/>
      <c r="AK21" s="431"/>
      <c r="AL21" s="431"/>
      <c r="AM21" s="431"/>
      <c r="AN21" s="431"/>
      <c r="AO21" s="431"/>
      <c r="AP21" s="431"/>
    </row>
    <row r="22" spans="1:42">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row>
    <row r="23" spans="1:42">
      <c r="A23" s="89" t="s">
        <v>396</v>
      </c>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427" t="s">
        <v>393</v>
      </c>
      <c r="AJ23" s="427"/>
      <c r="AK23" s="427"/>
      <c r="AL23" s="427"/>
      <c r="AM23" s="427"/>
      <c r="AN23" s="427"/>
      <c r="AO23" s="427"/>
      <c r="AP23" s="427"/>
    </row>
    <row r="24" spans="1:42" ht="105.6">
      <c r="A24" s="75" t="s">
        <v>394</v>
      </c>
      <c r="B24" s="76">
        <v>1990</v>
      </c>
      <c r="C24" s="76">
        <v>1991</v>
      </c>
      <c r="D24" s="76">
        <v>1992</v>
      </c>
      <c r="E24" s="76">
        <v>1993</v>
      </c>
      <c r="F24" s="76">
        <v>1994</v>
      </c>
      <c r="G24" s="76">
        <v>1995</v>
      </c>
      <c r="H24" s="76">
        <v>1996</v>
      </c>
      <c r="I24" s="76">
        <v>1997</v>
      </c>
      <c r="J24" s="76">
        <v>1998</v>
      </c>
      <c r="K24" s="76">
        <v>1999</v>
      </c>
      <c r="L24" s="76">
        <v>2000</v>
      </c>
      <c r="M24" s="76">
        <v>2001</v>
      </c>
      <c r="N24" s="76">
        <v>2002</v>
      </c>
      <c r="O24" s="76">
        <v>2003</v>
      </c>
      <c r="P24" s="76">
        <v>2004</v>
      </c>
      <c r="Q24" s="76">
        <v>2005</v>
      </c>
      <c r="R24" s="76">
        <v>2006</v>
      </c>
      <c r="S24" s="76">
        <v>2007</v>
      </c>
      <c r="T24" s="76">
        <v>2008</v>
      </c>
      <c r="U24" s="76">
        <v>2009</v>
      </c>
      <c r="V24" s="76">
        <v>2010</v>
      </c>
      <c r="W24" s="76">
        <v>2011</v>
      </c>
      <c r="X24" s="76">
        <v>2012</v>
      </c>
      <c r="Y24" s="76">
        <v>2013</v>
      </c>
      <c r="Z24" s="76">
        <v>2014</v>
      </c>
      <c r="AA24" s="76">
        <v>2015</v>
      </c>
      <c r="AB24" s="76">
        <v>2016</v>
      </c>
      <c r="AC24" s="76">
        <v>2017</v>
      </c>
      <c r="AD24" s="76">
        <v>2018</v>
      </c>
      <c r="AE24" s="76">
        <v>2019</v>
      </c>
      <c r="AF24" s="76">
        <v>2020</v>
      </c>
      <c r="AG24" s="77">
        <v>2021</v>
      </c>
      <c r="AH24" s="77" t="s">
        <v>395</v>
      </c>
      <c r="AI24" s="76">
        <v>2023</v>
      </c>
      <c r="AJ24" s="152">
        <v>2024</v>
      </c>
      <c r="AK24" s="76">
        <v>2025</v>
      </c>
      <c r="AL24" s="152">
        <v>2026</v>
      </c>
      <c r="AM24" s="152">
        <v>2027</v>
      </c>
      <c r="AN24" s="76">
        <v>2028</v>
      </c>
      <c r="AO24" s="152">
        <v>2029</v>
      </c>
      <c r="AP24" s="76">
        <v>2030</v>
      </c>
    </row>
    <row r="25" spans="1:42" ht="24">
      <c r="A25" s="91" t="s">
        <v>90</v>
      </c>
      <c r="B25" s="92">
        <v>41.346663255397772</v>
      </c>
      <c r="C25" s="92">
        <v>41.47419689492358</v>
      </c>
      <c r="D25" s="92">
        <v>42.407265023964072</v>
      </c>
      <c r="E25" s="92">
        <v>30.137389061418538</v>
      </c>
      <c r="F25" s="92">
        <v>26.625290259562892</v>
      </c>
      <c r="G25" s="92">
        <v>29.233497331470609</v>
      </c>
      <c r="H25" s="92">
        <v>32.617304985665825</v>
      </c>
      <c r="I25" s="92">
        <v>28.733092239590512</v>
      </c>
      <c r="J25" s="92">
        <v>41.294889500123816</v>
      </c>
      <c r="K25" s="92">
        <v>34.934153399643762</v>
      </c>
      <c r="L25" s="92">
        <v>34.445064513223883</v>
      </c>
      <c r="M25" s="92">
        <v>27.670402086572469</v>
      </c>
      <c r="N25" s="92">
        <v>31.415364347435531</v>
      </c>
      <c r="O25" s="92">
        <v>34.4760046610795</v>
      </c>
      <c r="P25" s="92">
        <v>32.901509514210147</v>
      </c>
      <c r="Q25" s="92">
        <v>38.696503242168745</v>
      </c>
      <c r="R25" s="92">
        <v>34.404604360434995</v>
      </c>
      <c r="S25" s="92">
        <v>34.77373187896017</v>
      </c>
      <c r="T25" s="92">
        <v>33.765597872050058</v>
      </c>
      <c r="U25" s="92">
        <v>33.254137836797604</v>
      </c>
      <c r="V25" s="92">
        <v>34.469483271557806</v>
      </c>
      <c r="W25" s="92">
        <v>27.64914530340825</v>
      </c>
      <c r="X25" s="92">
        <v>30.539947469859065</v>
      </c>
      <c r="Y25" s="92">
        <v>30.69156221939993</v>
      </c>
      <c r="Z25" s="92">
        <v>19.131518389083048</v>
      </c>
      <c r="AA25" s="92">
        <v>21.388216323448844</v>
      </c>
      <c r="AB25" s="92">
        <v>24.954062678365897</v>
      </c>
      <c r="AC25" s="92">
        <v>29.242221008076864</v>
      </c>
      <c r="AD25" s="92">
        <v>21.221087089166584</v>
      </c>
      <c r="AE25" s="92">
        <v>19.929661530672664</v>
      </c>
      <c r="AF25" s="92">
        <v>17.671946742455908</v>
      </c>
      <c r="AG25" s="92">
        <v>19.813856263837057</v>
      </c>
      <c r="AH25" s="92">
        <v>22.495669375837579</v>
      </c>
      <c r="AI25" s="92">
        <v>17.172042998525402</v>
      </c>
      <c r="AJ25" s="338">
        <f>AI25+(AK25-AI25)/2</f>
        <v>13.295761840835404</v>
      </c>
      <c r="AK25" s="92">
        <v>9.4194806831454034</v>
      </c>
      <c r="AL25" s="338">
        <f>AK25+(AN25-AK25)/3</f>
        <v>9.118048642232468</v>
      </c>
      <c r="AM25" s="338">
        <f>AK25+(AN25-AK25)*2/3</f>
        <v>8.8166166013195308</v>
      </c>
      <c r="AN25" s="92">
        <v>8.5151845604065954</v>
      </c>
      <c r="AO25" s="338">
        <f>AN25+(AP25-AN25)/2</f>
        <v>8.2276432357862177</v>
      </c>
      <c r="AP25" s="92">
        <v>7.9401019111658382</v>
      </c>
    </row>
    <row r="26" spans="1:42" ht="24">
      <c r="A26" s="91" t="s">
        <v>92</v>
      </c>
      <c r="B26" s="92">
        <v>6.0149421873984235</v>
      </c>
      <c r="C26" s="92">
        <v>6.7367286338552539</v>
      </c>
      <c r="D26" s="92">
        <v>6.6000603713625443</v>
      </c>
      <c r="E26" s="92">
        <v>6.5729084180761168</v>
      </c>
      <c r="F26" s="92">
        <v>6.175157377729235</v>
      </c>
      <c r="G26" s="92">
        <v>6.1537805471922171</v>
      </c>
      <c r="H26" s="92">
        <v>6.9517962755324518</v>
      </c>
      <c r="I26" s="92">
        <v>6.5434638804668745</v>
      </c>
      <c r="J26" s="92">
        <v>6.5534551640339584</v>
      </c>
      <c r="K26" s="92">
        <v>6.4279572408433854</v>
      </c>
      <c r="L26" s="92">
        <v>6.4140323326714794</v>
      </c>
      <c r="M26" s="92">
        <v>6.5337782944737164</v>
      </c>
      <c r="N26" s="92">
        <v>6.6135332448299824</v>
      </c>
      <c r="O26" s="92">
        <v>6.8079515307689809</v>
      </c>
      <c r="P26" s="92">
        <v>6.9585376304611231</v>
      </c>
      <c r="Q26" s="92">
        <v>6.7777604682801149</v>
      </c>
      <c r="R26" s="92">
        <v>6.9035879307715922</v>
      </c>
      <c r="S26" s="92">
        <v>6.4507513385760795</v>
      </c>
      <c r="T26" s="92">
        <v>6.6362076986188265</v>
      </c>
      <c r="U26" s="92">
        <v>5.9710347734383635</v>
      </c>
      <c r="V26" s="92">
        <v>6.5001032858249177</v>
      </c>
      <c r="W26" s="92">
        <v>8.1180164628804761</v>
      </c>
      <c r="X26" s="92">
        <v>9.464443915498423</v>
      </c>
      <c r="Y26" s="92">
        <v>7.7946420553924209</v>
      </c>
      <c r="Z26" s="92">
        <v>5.6591552607039226</v>
      </c>
      <c r="AA26" s="92">
        <v>6.4911706714514237</v>
      </c>
      <c r="AB26" s="92">
        <v>6.6600550424390885</v>
      </c>
      <c r="AC26" s="92">
        <v>6.5920506101938541</v>
      </c>
      <c r="AD26" s="92">
        <v>5.8004970118282966</v>
      </c>
      <c r="AE26" s="92">
        <v>5.7102121322219004</v>
      </c>
      <c r="AF26" s="92">
        <v>5.4460102351404069</v>
      </c>
      <c r="AG26" s="92">
        <v>5.902939058134411</v>
      </c>
      <c r="AH26" s="92">
        <v>4.8889804700318198</v>
      </c>
      <c r="AI26" s="92">
        <v>4.4805710032663075</v>
      </c>
      <c r="AJ26" s="338">
        <f t="shared" ref="AJ26:AJ34" si="4">AI26+(AK26-AI26)/2</f>
        <v>4.4477320828166276</v>
      </c>
      <c r="AK26" s="92">
        <v>4.4148931623669476</v>
      </c>
      <c r="AL26" s="338">
        <f t="shared" ref="AL26:AL31" si="5">AK26+(AN26-AK26)/3</f>
        <v>4.4154324079000657</v>
      </c>
      <c r="AM26" s="338">
        <f t="shared" ref="AM26:AM31" si="6">AK26+(AN26-AK26)*2/3</f>
        <v>4.4159716534331839</v>
      </c>
      <c r="AN26" s="92">
        <v>4.416510898966302</v>
      </c>
      <c r="AO26" s="338">
        <f t="shared" ref="AO26:AO34" si="7">AN26+(AP26-AN26)/2</f>
        <v>4.3890104574048703</v>
      </c>
      <c r="AP26" s="92">
        <v>4.3615100158434394</v>
      </c>
    </row>
    <row r="27" spans="1:42" ht="24">
      <c r="A27" s="91" t="s">
        <v>94</v>
      </c>
      <c r="B27" s="92">
        <v>15.248512459535378</v>
      </c>
      <c r="C27" s="92">
        <v>15.526702313683574</v>
      </c>
      <c r="D27" s="92">
        <v>15.694444780680183</v>
      </c>
      <c r="E27" s="92">
        <v>15.686581066950794</v>
      </c>
      <c r="F27" s="92">
        <v>16.391352680945719</v>
      </c>
      <c r="G27" s="92">
        <v>16.541438771011006</v>
      </c>
      <c r="H27" s="92">
        <v>17.338011313594819</v>
      </c>
      <c r="I27" s="92">
        <v>18.146565943781759</v>
      </c>
      <c r="J27" s="92">
        <v>17.923941018206349</v>
      </c>
      <c r="K27" s="92">
        <v>17.178293708039597</v>
      </c>
      <c r="L27" s="92">
        <v>17.212042036792539</v>
      </c>
      <c r="M27" s="92">
        <v>17.30729198879666</v>
      </c>
      <c r="N27" s="92">
        <v>16.429206915027283</v>
      </c>
      <c r="O27" s="92">
        <v>16.39561421676445</v>
      </c>
      <c r="P27" s="92">
        <v>16.806950497897887</v>
      </c>
      <c r="Q27" s="92">
        <v>16.914856434624983</v>
      </c>
      <c r="R27" s="92">
        <v>17.34838525962596</v>
      </c>
      <c r="S27" s="92">
        <v>17.504150584126421</v>
      </c>
      <c r="T27" s="92">
        <v>17.596061896610657</v>
      </c>
      <c r="U27" s="92">
        <v>16.643819879968266</v>
      </c>
      <c r="V27" s="92">
        <v>14.783561225598566</v>
      </c>
      <c r="W27" s="92">
        <v>14.30742185049224</v>
      </c>
      <c r="X27" s="92">
        <v>11.717673110123551</v>
      </c>
      <c r="Y27" s="92">
        <v>10.94545603155929</v>
      </c>
      <c r="Z27" s="92">
        <v>10.884602862652082</v>
      </c>
      <c r="AA27" s="92">
        <v>10.464417124277531</v>
      </c>
      <c r="AB27" s="92">
        <v>10.194141335406115</v>
      </c>
      <c r="AC27" s="92">
        <v>9.6052536382773628</v>
      </c>
      <c r="AD27" s="92">
        <v>9.0973932589633613</v>
      </c>
      <c r="AE27" s="92">
        <v>8.7096915785989424</v>
      </c>
      <c r="AF27" s="92">
        <v>7.1849926549194567</v>
      </c>
      <c r="AG27" s="92">
        <v>6.5206174893686368</v>
      </c>
      <c r="AH27" s="92">
        <v>7.2282419242863902</v>
      </c>
      <c r="AI27" s="92">
        <v>7.1967588721132421</v>
      </c>
      <c r="AJ27" s="338">
        <f t="shared" si="4"/>
        <v>7.4410644440902409</v>
      </c>
      <c r="AK27" s="92">
        <v>7.6853700160672389</v>
      </c>
      <c r="AL27" s="338">
        <f t="shared" si="5"/>
        <v>7.3836800137944127</v>
      </c>
      <c r="AM27" s="338">
        <f t="shared" si="6"/>
        <v>7.0819900115215875</v>
      </c>
      <c r="AN27" s="92">
        <v>6.7803000092487613</v>
      </c>
      <c r="AO27" s="338">
        <f t="shared" si="7"/>
        <v>6.5289691891919119</v>
      </c>
      <c r="AP27" s="92">
        <v>6.2776383691350635</v>
      </c>
    </row>
    <row r="28" spans="1:42" ht="60">
      <c r="A28" s="91" t="s">
        <v>96</v>
      </c>
      <c r="B28" s="92">
        <v>4.1799298562018459</v>
      </c>
      <c r="C28" s="92">
        <v>4.1942021522010373</v>
      </c>
      <c r="D28" s="92">
        <v>4.2146083634215099</v>
      </c>
      <c r="E28" s="92">
        <v>3.8268204524805576</v>
      </c>
      <c r="F28" s="92">
        <v>3.7318051929957732</v>
      </c>
      <c r="G28" s="92">
        <v>3.7586580096628825</v>
      </c>
      <c r="H28" s="92">
        <v>3.6905496710514978</v>
      </c>
      <c r="I28" s="92">
        <v>3.5518211235613419</v>
      </c>
      <c r="J28" s="92">
        <v>3.8840686715351764</v>
      </c>
      <c r="K28" s="92">
        <v>3.9434381079008314</v>
      </c>
      <c r="L28" s="92">
        <v>3.8857143237179406</v>
      </c>
      <c r="M28" s="92">
        <v>3.7252598220756781</v>
      </c>
      <c r="N28" s="92">
        <v>3.5982146341493122</v>
      </c>
      <c r="O28" s="92">
        <v>3.5836060689639959</v>
      </c>
      <c r="P28" s="92">
        <v>3.4060759900886968</v>
      </c>
      <c r="Q28" s="92">
        <v>3.191175854564805</v>
      </c>
      <c r="R28" s="92">
        <v>3.1724127713819725</v>
      </c>
      <c r="S28" s="92">
        <v>3.1095829371264836</v>
      </c>
      <c r="T28" s="92">
        <v>3.0073758316500379</v>
      </c>
      <c r="U28" s="92">
        <v>2.7414831629590957</v>
      </c>
      <c r="V28" s="92">
        <v>2.9771896781380329</v>
      </c>
      <c r="W28" s="92">
        <v>2.9393908394772095</v>
      </c>
      <c r="X28" s="92">
        <v>2.7006325844334187</v>
      </c>
      <c r="Y28" s="92">
        <v>2.8069482305872286</v>
      </c>
      <c r="Z28" s="92">
        <v>2.9587488640427106</v>
      </c>
      <c r="AA28" s="92">
        <v>2.9396522240093019</v>
      </c>
      <c r="AB28" s="92">
        <v>2.8616719798681665</v>
      </c>
      <c r="AC28" s="92">
        <v>2.9745269151550948</v>
      </c>
      <c r="AD28" s="92">
        <v>2.9294309628616215</v>
      </c>
      <c r="AE28" s="92">
        <v>2.8472145429754812</v>
      </c>
      <c r="AF28" s="92">
        <v>2.1192845397919959</v>
      </c>
      <c r="AG28" s="92">
        <v>2.1689551211212486</v>
      </c>
      <c r="AH28" s="92">
        <v>1.9713405717151431</v>
      </c>
      <c r="AI28" s="92">
        <v>2.3016642516629613</v>
      </c>
      <c r="AJ28" s="338">
        <f t="shared" si="4"/>
        <v>2.2656500669299104</v>
      </c>
      <c r="AK28" s="92">
        <v>2.22963588219686</v>
      </c>
      <c r="AL28" s="338">
        <f t="shared" si="5"/>
        <v>2.0106574277992211</v>
      </c>
      <c r="AM28" s="338">
        <f t="shared" si="6"/>
        <v>1.7916789734015823</v>
      </c>
      <c r="AN28" s="92">
        <v>1.5727005190039436</v>
      </c>
      <c r="AO28" s="338">
        <f t="shared" si="7"/>
        <v>1.3763196082797224</v>
      </c>
      <c r="AP28" s="92">
        <v>1.1799386975555013</v>
      </c>
    </row>
    <row r="29" spans="1:42" ht="48">
      <c r="A29" s="91" t="s">
        <v>357</v>
      </c>
      <c r="B29" s="92">
        <v>5.3541040000000004</v>
      </c>
      <c r="C29" s="92">
        <v>4.9685364731654875</v>
      </c>
      <c r="D29" s="92">
        <v>5.1887539869790578</v>
      </c>
      <c r="E29" s="92">
        <v>5.4205624232662313</v>
      </c>
      <c r="F29" s="92">
        <v>5.5418104037829954</v>
      </c>
      <c r="G29" s="92">
        <v>5.4914730903692242</v>
      </c>
      <c r="H29" s="92">
        <v>4.1738095690077444</v>
      </c>
      <c r="I29" s="92">
        <v>3.5520246866286929</v>
      </c>
      <c r="J29" s="92">
        <v>3.4465172708405434</v>
      </c>
      <c r="K29" s="92">
        <v>3.2742751500356491</v>
      </c>
      <c r="L29" s="92">
        <v>2.2451396437059938</v>
      </c>
      <c r="M29" s="92">
        <v>2.01877910690561</v>
      </c>
      <c r="N29" s="92">
        <v>1.3422459787879104</v>
      </c>
      <c r="O29" s="92">
        <v>1.2809441602510849</v>
      </c>
      <c r="P29" s="92">
        <v>0.74642789513523522</v>
      </c>
      <c r="Q29" s="92">
        <v>0.41459600000000008</v>
      </c>
      <c r="R29" s="92">
        <v>0.26451600000000003</v>
      </c>
      <c r="S29" s="92">
        <v>3.9396000000000007E-2</v>
      </c>
      <c r="T29" s="92">
        <v>3.9396000000000007E-2</v>
      </c>
      <c r="U29" s="92">
        <v>3.9396000000000007E-2</v>
      </c>
      <c r="V29" s="92">
        <v>3.9396000000000007E-2</v>
      </c>
      <c r="W29" s="92">
        <v>3.0016000000000001E-2</v>
      </c>
      <c r="X29" s="92">
        <v>1.3132E-2</v>
      </c>
      <c r="Y29" s="92">
        <v>1.5008000000000001E-2</v>
      </c>
      <c r="Z29" s="92">
        <v>1.1256E-2</v>
      </c>
      <c r="AA29" s="92">
        <v>1.1256E-2</v>
      </c>
      <c r="AB29" s="92">
        <v>1.1256E-2</v>
      </c>
      <c r="AC29" s="92">
        <v>1.1256E-2</v>
      </c>
      <c r="AD29" s="92">
        <v>1.1256E-2</v>
      </c>
      <c r="AE29" s="92">
        <v>1.1256E-2</v>
      </c>
      <c r="AF29" s="92">
        <v>1.1256E-2</v>
      </c>
      <c r="AG29" s="92">
        <v>1.313199999999997E-3</v>
      </c>
      <c r="AH29" s="92">
        <v>1.313199999999997E-3</v>
      </c>
      <c r="AI29" s="92">
        <v>1.3131999999999966E-3</v>
      </c>
      <c r="AJ29" s="338">
        <f t="shared" si="4"/>
        <v>1.3131999999999966E-3</v>
      </c>
      <c r="AK29" s="92">
        <v>1.3131999999999966E-3</v>
      </c>
      <c r="AL29" s="338">
        <f t="shared" si="5"/>
        <v>1.3131999999999966E-3</v>
      </c>
      <c r="AM29" s="338">
        <f t="shared" si="6"/>
        <v>1.3131999999999966E-3</v>
      </c>
      <c r="AN29" s="92">
        <v>1.3131999999999966E-3</v>
      </c>
      <c r="AO29" s="338">
        <f t="shared" si="7"/>
        <v>1.3131999999999966E-3</v>
      </c>
      <c r="AP29" s="92">
        <v>1.3131999999999966E-3</v>
      </c>
    </row>
    <row r="30" spans="1:42" ht="48">
      <c r="A30" s="91" t="s">
        <v>358</v>
      </c>
      <c r="B30" s="92">
        <v>0.47536203835577101</v>
      </c>
      <c r="C30" s="92">
        <v>0.46484442012874017</v>
      </c>
      <c r="D30" s="92">
        <v>0.451964130035578</v>
      </c>
      <c r="E30" s="92">
        <v>0.43512749034271148</v>
      </c>
      <c r="F30" s="92">
        <v>0.43832316349513778</v>
      </c>
      <c r="G30" s="92">
        <v>0.39415583935865278</v>
      </c>
      <c r="H30" s="92">
        <v>0.3351487730469051</v>
      </c>
      <c r="I30" s="92">
        <v>0.28501508441820866</v>
      </c>
      <c r="J30" s="92">
        <v>0.27334543487254076</v>
      </c>
      <c r="K30" s="92">
        <v>0.24627003297664884</v>
      </c>
      <c r="L30" s="92">
        <v>0.22787930076191015</v>
      </c>
      <c r="M30" s="92">
        <v>0.22221856702672499</v>
      </c>
      <c r="N30" s="92">
        <v>0.2116543086104688</v>
      </c>
      <c r="O30" s="92">
        <v>0.19743767562531978</v>
      </c>
      <c r="P30" s="92">
        <v>0.18476447010188479</v>
      </c>
      <c r="Q30" s="92">
        <v>0.17528521877645872</v>
      </c>
      <c r="R30" s="92">
        <v>0.17207587596983789</v>
      </c>
      <c r="S30" s="92">
        <v>0.15898244832638328</v>
      </c>
      <c r="T30" s="92">
        <v>0.15805683566095535</v>
      </c>
      <c r="U30" s="92">
        <v>0.14427255902099903</v>
      </c>
      <c r="V30" s="92">
        <v>0.14441445385002818</v>
      </c>
      <c r="W30" s="92">
        <v>0.14473293077879451</v>
      </c>
      <c r="X30" s="92">
        <v>0.12954260766639586</v>
      </c>
      <c r="Y30" s="92">
        <v>0.12754838252325135</v>
      </c>
      <c r="Z30" s="92">
        <v>0.12289728260596587</v>
      </c>
      <c r="AA30" s="92">
        <v>0.13418327388529264</v>
      </c>
      <c r="AB30" s="92">
        <v>0.13106482652045146</v>
      </c>
      <c r="AC30" s="92">
        <v>0.12211660183828703</v>
      </c>
      <c r="AD30" s="92">
        <v>0.12449829671374033</v>
      </c>
      <c r="AE30" s="92">
        <v>0.11556875148091968</v>
      </c>
      <c r="AF30" s="92">
        <v>0.10255535131879859</v>
      </c>
      <c r="AG30" s="92">
        <v>0.10361612496670393</v>
      </c>
      <c r="AH30" s="92">
        <v>0.11661526182098227</v>
      </c>
      <c r="AI30" s="92">
        <v>0.79482400772930106</v>
      </c>
      <c r="AJ30" s="338">
        <f t="shared" si="4"/>
        <v>0.79432954385176247</v>
      </c>
      <c r="AK30" s="92">
        <v>0.79383507997422387</v>
      </c>
      <c r="AL30" s="338">
        <f t="shared" si="5"/>
        <v>0.79250224288613713</v>
      </c>
      <c r="AM30" s="338">
        <f t="shared" si="6"/>
        <v>0.79116940579805028</v>
      </c>
      <c r="AN30" s="92">
        <v>0.78983656870996355</v>
      </c>
      <c r="AO30" s="338">
        <f t="shared" si="7"/>
        <v>0.78850817921766092</v>
      </c>
      <c r="AP30" s="92">
        <v>0.78717978972535818</v>
      </c>
    </row>
    <row r="31" spans="1:42" ht="48">
      <c r="A31" s="91" t="s">
        <v>359</v>
      </c>
      <c r="B31" s="92">
        <v>3.4657371807442452</v>
      </c>
      <c r="C31" s="92">
        <v>3.7080528229324985</v>
      </c>
      <c r="D31" s="92">
        <v>3.5342230592457593</v>
      </c>
      <c r="E31" s="92">
        <v>3.4680113261781962</v>
      </c>
      <c r="F31" s="92">
        <v>3.530131139023851</v>
      </c>
      <c r="G31" s="92">
        <v>3.3685692146778292</v>
      </c>
      <c r="H31" s="92">
        <v>3.4540875762360685</v>
      </c>
      <c r="I31" s="92">
        <v>3.3503389874767402</v>
      </c>
      <c r="J31" s="92">
        <v>3.1415354889705709</v>
      </c>
      <c r="K31" s="92">
        <v>3.163637569620485</v>
      </c>
      <c r="L31" s="92">
        <v>3.1608354518077708</v>
      </c>
      <c r="M31" s="92">
        <v>2.9424114754238637</v>
      </c>
      <c r="N31" s="92">
        <v>3.0155454008504665</v>
      </c>
      <c r="O31" s="92">
        <v>3.0922390164233042</v>
      </c>
      <c r="P31" s="92">
        <v>3.1802375423138693</v>
      </c>
      <c r="Q31" s="92">
        <v>3.1536036012483502</v>
      </c>
      <c r="R31" s="92">
        <v>3.0312785223109806</v>
      </c>
      <c r="S31" s="92">
        <v>2.9078345617358323</v>
      </c>
      <c r="T31" s="92">
        <v>2.8981811269761275</v>
      </c>
      <c r="U31" s="92">
        <v>2.8166847772256398</v>
      </c>
      <c r="V31" s="92">
        <v>2.489444993895046</v>
      </c>
      <c r="W31" s="92">
        <v>2.2796554050678153</v>
      </c>
      <c r="X31" s="92">
        <v>2.3387902128096481</v>
      </c>
      <c r="Y31" s="92">
        <v>2.1657028507716269</v>
      </c>
      <c r="Z31" s="92">
        <v>1.8167812778885639</v>
      </c>
      <c r="AA31" s="92">
        <v>1.7450282766750536</v>
      </c>
      <c r="AB31" s="92">
        <v>1.7622162089005542</v>
      </c>
      <c r="AC31" s="92">
        <v>1.6515697260754705</v>
      </c>
      <c r="AD31" s="92">
        <v>1.5965347791033064</v>
      </c>
      <c r="AE31" s="92">
        <v>1.5830693952813211</v>
      </c>
      <c r="AF31" s="92">
        <v>1.2652320311654934</v>
      </c>
      <c r="AG31" s="92">
        <v>1.1967754006556379</v>
      </c>
      <c r="AH31" s="92">
        <v>1.0906511455426533</v>
      </c>
      <c r="AI31" s="92">
        <v>1.3118194961628418</v>
      </c>
      <c r="AJ31" s="338">
        <f t="shared" si="4"/>
        <v>1.2917542506224255</v>
      </c>
      <c r="AK31" s="92">
        <v>1.2716890050820093</v>
      </c>
      <c r="AL31" s="338">
        <f t="shared" si="5"/>
        <v>1.2250637948956022</v>
      </c>
      <c r="AM31" s="338">
        <f t="shared" si="6"/>
        <v>1.1784385847091949</v>
      </c>
      <c r="AN31" s="92">
        <v>1.1318133745227879</v>
      </c>
      <c r="AO31" s="338">
        <f t="shared" si="7"/>
        <v>1.0853690208357571</v>
      </c>
      <c r="AP31" s="92">
        <v>1.0389246671487262</v>
      </c>
    </row>
    <row r="32" spans="1:42" ht="36">
      <c r="A32" s="91" t="s">
        <v>409</v>
      </c>
      <c r="B32" s="92">
        <v>3.9529989189189187E-2</v>
      </c>
      <c r="C32" s="92">
        <v>3.574851891891892E-2</v>
      </c>
      <c r="D32" s="92">
        <v>3.1967048648648647E-2</v>
      </c>
      <c r="E32" s="92">
        <v>2.818557837837838E-2</v>
      </c>
      <c r="F32" s="92">
        <v>2.4404108108108103E-2</v>
      </c>
      <c r="G32" s="92">
        <v>2.0622637837837837E-2</v>
      </c>
      <c r="H32" s="92">
        <v>1.6841167567567566E-2</v>
      </c>
      <c r="I32" s="92">
        <v>1.3059697297297296E-2</v>
      </c>
      <c r="J32" s="92">
        <v>9.2782270270270265E-3</v>
      </c>
      <c r="K32" s="92">
        <v>5.4967567567567564E-3</v>
      </c>
      <c r="L32" s="92">
        <v>1.7152864864864866E-3</v>
      </c>
      <c r="M32" s="92">
        <v>1.7152864864864866E-3</v>
      </c>
      <c r="N32" s="92">
        <v>1.7152864864864866E-3</v>
      </c>
      <c r="O32" s="92">
        <v>1.6948664092664137E-3</v>
      </c>
      <c r="P32" s="92">
        <v>1.6744463320463331E-3</v>
      </c>
      <c r="Q32" s="92">
        <v>1.6540262548262524E-3</v>
      </c>
      <c r="R32" s="92">
        <v>1.6336061776061799E-3</v>
      </c>
      <c r="S32" s="92">
        <v>1.6131861003860991E-3</v>
      </c>
      <c r="T32" s="92">
        <v>1.5927660231660266E-3</v>
      </c>
      <c r="U32" s="92">
        <v>1.5723459459459459E-3</v>
      </c>
      <c r="V32" s="92">
        <v>1.4294054054054056E-3</v>
      </c>
      <c r="W32" s="92">
        <v>1.2864648648648648E-3</v>
      </c>
      <c r="X32" s="92">
        <v>1.4294054054054056E-3</v>
      </c>
      <c r="Y32" s="92">
        <v>1.7067066894277611E-3</v>
      </c>
      <c r="Z32" s="92">
        <v>1.6374981957241713E-3</v>
      </c>
      <c r="AA32" s="92">
        <v>2.111770310915083E-3</v>
      </c>
      <c r="AB32" s="92">
        <v>2.7024958807375403E-3</v>
      </c>
      <c r="AC32" s="92">
        <v>2.01989732062388E-3</v>
      </c>
      <c r="AD32" s="92">
        <v>1.2972036304645215E-3</v>
      </c>
      <c r="AE32" s="92">
        <v>1.183647492922507E-3</v>
      </c>
      <c r="AF32" s="92">
        <v>1.2399582524855166E-3</v>
      </c>
      <c r="AG32" s="92">
        <v>1.2399582524855166E-3</v>
      </c>
      <c r="AH32" s="92">
        <v>1.2399582524855166E-3</v>
      </c>
      <c r="AI32" s="338">
        <v>0</v>
      </c>
      <c r="AJ32" s="338">
        <f t="shared" si="4"/>
        <v>0</v>
      </c>
      <c r="AK32" s="338">
        <v>0</v>
      </c>
      <c r="AL32" s="338">
        <f t="shared" ref="AL32:AL34" si="8">AK32+(AN32-AK32)/3</f>
        <v>0</v>
      </c>
      <c r="AM32" s="338">
        <f t="shared" ref="AM32:AM34" si="9">AK32+(AN32-AK32)*2/3</f>
        <v>0</v>
      </c>
      <c r="AN32" s="338">
        <v>0</v>
      </c>
      <c r="AO32" s="338">
        <f t="shared" si="7"/>
        <v>0</v>
      </c>
      <c r="AP32" s="338">
        <v>0</v>
      </c>
    </row>
    <row r="33" spans="1:42" ht="36">
      <c r="A33" s="91" t="s">
        <v>99</v>
      </c>
      <c r="B33" s="92">
        <v>2.7264205561207233</v>
      </c>
      <c r="C33" s="92">
        <v>2.9804828550098357</v>
      </c>
      <c r="D33" s="92">
        <v>3.2345451538989467</v>
      </c>
      <c r="E33" s="92">
        <v>3.4903913414020167</v>
      </c>
      <c r="F33" s="92">
        <v>3.5152958552447067</v>
      </c>
      <c r="G33" s="92">
        <v>3.5402003690873975</v>
      </c>
      <c r="H33" s="92">
        <v>3.5041587935172474</v>
      </c>
      <c r="I33" s="92">
        <v>3.5321678763554623</v>
      </c>
      <c r="J33" s="92">
        <v>3.5421086179508139</v>
      </c>
      <c r="K33" s="92">
        <v>3.92668748574174</v>
      </c>
      <c r="L33" s="92">
        <v>4.1256290003735314</v>
      </c>
      <c r="M33" s="92">
        <v>4.414561244157249</v>
      </c>
      <c r="N33" s="92">
        <v>4.7048246757552725</v>
      </c>
      <c r="O33" s="92">
        <v>4.8987392660420266</v>
      </c>
      <c r="P33" s="92">
        <v>5.0895356806868115</v>
      </c>
      <c r="Q33" s="92">
        <v>5.0604783688968631</v>
      </c>
      <c r="R33" s="92">
        <v>4.9305872273063525</v>
      </c>
      <c r="S33" s="92">
        <v>4.8411003996900863</v>
      </c>
      <c r="T33" s="92">
        <v>4.8127855059120392</v>
      </c>
      <c r="U33" s="92">
        <v>5.1505665470190047</v>
      </c>
      <c r="V33" s="92">
        <v>5.5797991294057159</v>
      </c>
      <c r="W33" s="92">
        <v>5.7260268075320058</v>
      </c>
      <c r="X33" s="92">
        <v>5.9721540375113618</v>
      </c>
      <c r="Y33" s="92">
        <v>6.2898667618243023</v>
      </c>
      <c r="Z33" s="92">
        <v>6.6118912016419449</v>
      </c>
      <c r="AA33" s="92">
        <v>6.7803713497191644</v>
      </c>
      <c r="AB33" s="92">
        <v>6.9688742414973799</v>
      </c>
      <c r="AC33" s="92">
        <v>7.1053153221377237</v>
      </c>
      <c r="AD33" s="92">
        <v>7.2009421966218206</v>
      </c>
      <c r="AE33" s="92">
        <v>7.329422020891716</v>
      </c>
      <c r="AF33" s="92">
        <v>7.4639262238233197</v>
      </c>
      <c r="AG33" s="92">
        <v>6.7816045917793151</v>
      </c>
      <c r="AH33" s="92">
        <v>6.781604591779316</v>
      </c>
      <c r="AI33" s="92">
        <v>6.4858073840494495</v>
      </c>
      <c r="AJ33" s="338">
        <f t="shared" si="4"/>
        <v>6.389726883670102</v>
      </c>
      <c r="AK33" s="92">
        <v>6.2936463832907537</v>
      </c>
      <c r="AL33" s="338">
        <f t="shared" si="8"/>
        <v>6.1988410684983659</v>
      </c>
      <c r="AM33" s="338">
        <f t="shared" si="9"/>
        <v>6.1040357537059773</v>
      </c>
      <c r="AN33" s="92">
        <v>6.0092304389135895</v>
      </c>
      <c r="AO33" s="338">
        <f t="shared" si="7"/>
        <v>5.9156748856743393</v>
      </c>
      <c r="AP33" s="92">
        <v>5.8221193324350891</v>
      </c>
    </row>
    <row r="34" spans="1:42" ht="60">
      <c r="A34" s="91" t="s">
        <v>410</v>
      </c>
      <c r="B34" s="143">
        <v>0</v>
      </c>
      <c r="C34" s="143">
        <v>0</v>
      </c>
      <c r="D34" s="143">
        <v>0</v>
      </c>
      <c r="E34" s="143">
        <v>0</v>
      </c>
      <c r="F34" s="143">
        <v>0</v>
      </c>
      <c r="G34" s="143">
        <v>0</v>
      </c>
      <c r="H34" s="143">
        <v>0</v>
      </c>
      <c r="I34" s="143">
        <v>0</v>
      </c>
      <c r="J34" s="143">
        <v>0</v>
      </c>
      <c r="K34" s="143"/>
      <c r="L34" s="143"/>
      <c r="M34" s="143"/>
      <c r="N34" s="143"/>
      <c r="O34" s="143"/>
      <c r="P34" s="143"/>
      <c r="Q34" s="143"/>
      <c r="R34" s="92"/>
      <c r="S34" s="92"/>
      <c r="T34" s="92"/>
      <c r="U34" s="92"/>
      <c r="V34" s="92"/>
      <c r="W34" s="92"/>
      <c r="X34" s="92"/>
      <c r="Y34" s="92"/>
      <c r="Z34" s="92"/>
      <c r="AA34" s="92"/>
      <c r="AB34" s="92"/>
      <c r="AC34" s="92"/>
      <c r="AD34" s="92"/>
      <c r="AE34" s="92"/>
      <c r="AF34" s="92"/>
      <c r="AG34" s="92"/>
      <c r="AH34" s="92"/>
      <c r="AI34" s="92"/>
      <c r="AJ34" s="338">
        <f t="shared" si="4"/>
        <v>0</v>
      </c>
      <c r="AK34" s="92"/>
      <c r="AL34" s="338">
        <f t="shared" si="8"/>
        <v>0</v>
      </c>
      <c r="AM34" s="338">
        <f t="shared" si="9"/>
        <v>0</v>
      </c>
      <c r="AN34" s="92"/>
      <c r="AO34" s="338">
        <f t="shared" si="7"/>
        <v>0</v>
      </c>
      <c r="AP34" s="92"/>
    </row>
    <row r="35" spans="1:42">
      <c r="A35" s="93" t="s">
        <v>411</v>
      </c>
      <c r="B35" s="94">
        <v>78.851201522943356</v>
      </c>
      <c r="C35" s="94">
        <v>80.089495084818935</v>
      </c>
      <c r="D35" s="94">
        <v>81.3578319182363</v>
      </c>
      <c r="E35" s="94">
        <v>69.065977158493553</v>
      </c>
      <c r="F35" s="94">
        <v>65.973570180888402</v>
      </c>
      <c r="G35" s="94">
        <v>68.50239581066765</v>
      </c>
      <c r="H35" s="94">
        <v>72.081708125220118</v>
      </c>
      <c r="I35" s="94">
        <v>67.707549519576872</v>
      </c>
      <c r="J35" s="94">
        <v>80.069139393560803</v>
      </c>
      <c r="K35" s="94">
        <v>73.100209451558868</v>
      </c>
      <c r="L35" s="94">
        <v>71.718051889541542</v>
      </c>
      <c r="M35" s="94">
        <v>64.836417871918471</v>
      </c>
      <c r="N35" s="94">
        <v>67.332304791932714</v>
      </c>
      <c r="O35" s="94">
        <v>70.734231462327926</v>
      </c>
      <c r="P35" s="94">
        <v>69.275713667227691</v>
      </c>
      <c r="Q35" s="94">
        <v>74.385913214815147</v>
      </c>
      <c r="R35" s="94">
        <v>70.229081553979299</v>
      </c>
      <c r="S35" s="94">
        <v>69.787143334641854</v>
      </c>
      <c r="T35" s="94">
        <v>68.915255533501863</v>
      </c>
      <c r="U35" s="94">
        <v>66.762967882374923</v>
      </c>
      <c r="V35" s="94">
        <v>66.984821443675528</v>
      </c>
      <c r="W35" s="94">
        <v>61.195692064501657</v>
      </c>
      <c r="X35" s="94">
        <v>62.877745343307261</v>
      </c>
      <c r="Y35" s="94">
        <v>60.838441238747471</v>
      </c>
      <c r="Z35" s="94">
        <v>47.198488636813977</v>
      </c>
      <c r="AA35" s="94">
        <v>49.956407013777536</v>
      </c>
      <c r="AB35" s="94">
        <v>53.546044808878392</v>
      </c>
      <c r="AC35" s="94">
        <v>57.306329719075279</v>
      </c>
      <c r="AD35" s="94">
        <v>47.982936798889199</v>
      </c>
      <c r="AE35" s="94">
        <v>46.237279599615874</v>
      </c>
      <c r="AF35" s="94">
        <v>41.26644373686787</v>
      </c>
      <c r="AG35" s="94">
        <v>42.490917208115498</v>
      </c>
      <c r="AH35" s="94">
        <v>44.575656499266358</v>
      </c>
      <c r="AI35" s="336">
        <v>39.744801213509511</v>
      </c>
      <c r="AJ35" s="337">
        <f>SUM(AJ25:AJ34)</f>
        <v>35.927332312816475</v>
      </c>
      <c r="AK35" s="337">
        <f t="shared" ref="AK35:AP35" si="10">SUM(AK25:AK34)</f>
        <v>32.109863412123438</v>
      </c>
      <c r="AL35" s="337">
        <f t="shared" si="10"/>
        <v>31.145538798006271</v>
      </c>
      <c r="AM35" s="337">
        <f t="shared" si="10"/>
        <v>30.181214183889104</v>
      </c>
      <c r="AN35" s="337">
        <f t="shared" si="10"/>
        <v>29.216889569771944</v>
      </c>
      <c r="AO35" s="337">
        <f t="shared" si="10"/>
        <v>28.312807776390478</v>
      </c>
      <c r="AP35" s="337">
        <f t="shared" si="10"/>
        <v>27.408725983009017</v>
      </c>
    </row>
    <row r="36" spans="1:42" ht="15">
      <c r="A36" s="95"/>
      <c r="B36" s="96"/>
      <c r="C36" s="96"/>
      <c r="D36" s="96"/>
      <c r="E36" s="96"/>
      <c r="F36" s="96"/>
      <c r="G36" s="96"/>
      <c r="H36" s="96"/>
      <c r="I36" s="96"/>
      <c r="J36" s="96"/>
      <c r="K36" s="70"/>
      <c r="L36" s="70"/>
      <c r="M36" s="70"/>
      <c r="N36" s="70"/>
      <c r="O36" s="70"/>
      <c r="P36" s="70"/>
      <c r="Q36" s="70"/>
      <c r="R36" s="70"/>
      <c r="S36" s="70"/>
      <c r="T36" s="70"/>
      <c r="U36" s="70"/>
      <c r="V36" s="70"/>
      <c r="W36" s="70"/>
      <c r="X36" s="70"/>
      <c r="Y36" s="70"/>
      <c r="Z36" s="70"/>
      <c r="AA36" s="70"/>
      <c r="AB36" s="70"/>
      <c r="AC36" s="70"/>
      <c r="AD36" s="70"/>
      <c r="AE36" s="70"/>
      <c r="AF36" s="70"/>
      <c r="AG36" s="97"/>
      <c r="AH36" s="70"/>
      <c r="AJ36" s="153"/>
    </row>
    <row r="37" spans="1:42">
      <c r="A37" s="98" t="s">
        <v>397</v>
      </c>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426" t="s">
        <v>393</v>
      </c>
      <c r="AJ37" s="426"/>
      <c r="AK37" s="426"/>
      <c r="AL37" s="426"/>
      <c r="AM37" s="426"/>
      <c r="AN37" s="426"/>
      <c r="AO37" s="426"/>
      <c r="AP37" s="426"/>
    </row>
    <row r="38" spans="1:42" ht="105.6">
      <c r="A38" s="75" t="s">
        <v>394</v>
      </c>
      <c r="B38" s="76">
        <v>1990</v>
      </c>
      <c r="C38" s="76">
        <v>1991</v>
      </c>
      <c r="D38" s="76">
        <v>1992</v>
      </c>
      <c r="E38" s="76">
        <v>1993</v>
      </c>
      <c r="F38" s="76">
        <v>1994</v>
      </c>
      <c r="G38" s="76">
        <v>1995</v>
      </c>
      <c r="H38" s="76">
        <v>1996</v>
      </c>
      <c r="I38" s="76">
        <v>1997</v>
      </c>
      <c r="J38" s="76">
        <v>1998</v>
      </c>
      <c r="K38" s="76">
        <v>1999</v>
      </c>
      <c r="L38" s="76">
        <v>2000</v>
      </c>
      <c r="M38" s="76">
        <v>2001</v>
      </c>
      <c r="N38" s="76">
        <v>2002</v>
      </c>
      <c r="O38" s="76">
        <v>2003</v>
      </c>
      <c r="P38" s="76">
        <v>2004</v>
      </c>
      <c r="Q38" s="76">
        <v>2005</v>
      </c>
      <c r="R38" s="76">
        <v>2006</v>
      </c>
      <c r="S38" s="76">
        <v>2007</v>
      </c>
      <c r="T38" s="76">
        <v>2008</v>
      </c>
      <c r="U38" s="76">
        <v>2009</v>
      </c>
      <c r="V38" s="76">
        <v>2010</v>
      </c>
      <c r="W38" s="76">
        <v>2011</v>
      </c>
      <c r="X38" s="76">
        <v>2012</v>
      </c>
      <c r="Y38" s="76">
        <v>2013</v>
      </c>
      <c r="Z38" s="76">
        <v>2014</v>
      </c>
      <c r="AA38" s="76">
        <v>2015</v>
      </c>
      <c r="AB38" s="76">
        <v>2016</v>
      </c>
      <c r="AC38" s="76">
        <v>2017</v>
      </c>
      <c r="AD38" s="76">
        <v>2018</v>
      </c>
      <c r="AE38" s="76">
        <v>2019</v>
      </c>
      <c r="AF38" s="76">
        <v>2020</v>
      </c>
      <c r="AG38" s="77">
        <v>2021</v>
      </c>
      <c r="AH38" s="77" t="s">
        <v>395</v>
      </c>
      <c r="AI38" s="76">
        <v>2023</v>
      </c>
      <c r="AJ38" s="152">
        <v>2024</v>
      </c>
      <c r="AK38" s="76">
        <v>2025</v>
      </c>
      <c r="AL38" s="152">
        <v>2026</v>
      </c>
      <c r="AM38" s="152">
        <v>2027</v>
      </c>
      <c r="AN38" s="76">
        <v>2028</v>
      </c>
      <c r="AO38" s="152">
        <v>2029</v>
      </c>
      <c r="AP38" s="76">
        <v>2030</v>
      </c>
    </row>
    <row r="39" spans="1:42">
      <c r="A39" s="100" t="s">
        <v>120</v>
      </c>
      <c r="B39" s="92">
        <v>49.835587748105084</v>
      </c>
      <c r="C39" s="92">
        <v>54.788733134992057</v>
      </c>
      <c r="D39" s="92">
        <v>51.751827199291057</v>
      </c>
      <c r="E39" s="92">
        <v>49.742912131506927</v>
      </c>
      <c r="F39" s="92">
        <v>51.502029092296809</v>
      </c>
      <c r="G39" s="92">
        <v>51.118577763161298</v>
      </c>
      <c r="H39" s="92">
        <v>53.017210629748469</v>
      </c>
      <c r="I39" s="92">
        <v>52.709722818964764</v>
      </c>
      <c r="J39" s="92">
        <v>43.659626989676696</v>
      </c>
      <c r="K39" s="92">
        <v>39.473686800041541</v>
      </c>
      <c r="L39" s="92">
        <v>38.328089634268572</v>
      </c>
      <c r="M39" s="92">
        <v>41.192912678004397</v>
      </c>
      <c r="N39" s="92">
        <v>36.124651580800908</v>
      </c>
      <c r="O39" s="92">
        <v>36.179772219187306</v>
      </c>
      <c r="P39" s="92">
        <v>32.778455611394776</v>
      </c>
      <c r="Q39" s="92">
        <v>34.020704416942863</v>
      </c>
      <c r="R39" s="92">
        <v>31.566185998699147</v>
      </c>
      <c r="S39" s="92">
        <v>31.19651719253347</v>
      </c>
      <c r="T39" s="92">
        <v>29.691875242003068</v>
      </c>
      <c r="U39" s="92">
        <v>26.880667980229955</v>
      </c>
      <c r="V39" s="92">
        <v>25.994039299820098</v>
      </c>
      <c r="W39" s="92">
        <v>24.573402340798161</v>
      </c>
      <c r="X39" s="92">
        <v>23.819488340676415</v>
      </c>
      <c r="Y39" s="92">
        <v>23.50734308194653</v>
      </c>
      <c r="Z39" s="92">
        <v>22.99498811896564</v>
      </c>
      <c r="AA39" s="92">
        <v>22.094562271902323</v>
      </c>
      <c r="AB39" s="92">
        <v>21.553237938455116</v>
      </c>
      <c r="AC39" s="92">
        <v>21.280906909156617</v>
      </c>
      <c r="AD39" s="92">
        <v>20.90191758916956</v>
      </c>
      <c r="AE39" s="92">
        <v>19.949164849166994</v>
      </c>
      <c r="AF39" s="92">
        <v>19.256350744473956</v>
      </c>
      <c r="AG39" s="92">
        <v>19.633204750457782</v>
      </c>
      <c r="AH39" s="92">
        <v>18.959215924249097</v>
      </c>
      <c r="AI39" s="342">
        <v>17.327787347063765</v>
      </c>
      <c r="AJ39" s="342">
        <f>AI39+(AK39-AI39)/2</f>
        <v>16.994144232882753</v>
      </c>
      <c r="AK39" s="342">
        <v>16.660501118701738</v>
      </c>
      <c r="AL39" s="342">
        <f>AK39+(AN39-AK39)/3</f>
        <v>15.622977341795638</v>
      </c>
      <c r="AM39" s="342">
        <f>AK39+(AN39-AK39)*2/3</f>
        <v>14.585453564889535</v>
      </c>
      <c r="AN39" s="342">
        <v>13.547929787983435</v>
      </c>
      <c r="AO39" s="342">
        <f>AN39+(AP39-AN39)/2</f>
        <v>12.543540949060162</v>
      </c>
      <c r="AP39" s="342">
        <v>11.539152110136889</v>
      </c>
    </row>
    <row r="40" spans="1:42" s="200" customFormat="1" ht="24">
      <c r="A40" s="199" t="s">
        <v>412</v>
      </c>
      <c r="B40" s="201"/>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2">
        <f>$AE$40/$AE$39*AA39</f>
        <v>5.1834749899322379</v>
      </c>
      <c r="AB40" s="202">
        <f>$AE$40/$AE$39*AB39</f>
        <v>5.0564780795913773</v>
      </c>
      <c r="AC40" s="202">
        <f>$AE$40/$AE$39*AC39</f>
        <v>4.9925881024114975</v>
      </c>
      <c r="AD40" s="202">
        <f>$AE$40/$AE$39*AD39</f>
        <v>4.9036756524869949</v>
      </c>
      <c r="AE40" s="201">
        <v>4.6801559493755596</v>
      </c>
      <c r="AF40" s="201">
        <v>4.4771433109155803</v>
      </c>
      <c r="AG40" s="201">
        <v>4.7045839128543925</v>
      </c>
      <c r="AH40" s="201">
        <v>4.4043182674950314</v>
      </c>
      <c r="AI40" s="343">
        <v>4.1219044199336103</v>
      </c>
      <c r="AJ40" s="343">
        <v>3.8082803663328417</v>
      </c>
      <c r="AK40" s="343">
        <v>3.5057993525739328</v>
      </c>
      <c r="AL40" s="343">
        <v>3.2108313852222308</v>
      </c>
      <c r="AM40" s="343">
        <v>2.9271401296297133</v>
      </c>
      <c r="AN40" s="343">
        <v>2.6545086692690005</v>
      </c>
      <c r="AO40" s="343">
        <v>2.3927214166235191</v>
      </c>
      <c r="AP40" s="343">
        <v>2.1415652393455749</v>
      </c>
    </row>
    <row r="41" spans="1:42" s="200" customFormat="1" ht="24">
      <c r="A41" s="199" t="s">
        <v>413</v>
      </c>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f t="shared" ref="AA41:AC41" si="11">$AE$41/$AE$39*AA39</f>
        <v>2.7647055436164134</v>
      </c>
      <c r="AB41" s="201">
        <f t="shared" si="11"/>
        <v>2.6969693120876639</v>
      </c>
      <c r="AC41" s="201">
        <f t="shared" si="11"/>
        <v>2.6628923705698946</v>
      </c>
      <c r="AD41" s="201">
        <f>$AE$41/$AE$39*AD39</f>
        <v>2.61546921454421</v>
      </c>
      <c r="AE41" s="201">
        <v>2.4962507050501079</v>
      </c>
      <c r="AF41" s="201">
        <v>2.3099562262344633</v>
      </c>
      <c r="AG41" s="201">
        <v>2.1641036324790921</v>
      </c>
      <c r="AH41" s="201">
        <v>2.1373743862591388</v>
      </c>
      <c r="AI41" s="343">
        <v>2.1207293399445812</v>
      </c>
      <c r="AJ41" s="343">
        <v>2.1803501537659513</v>
      </c>
      <c r="AK41" s="343">
        <v>2.2312868439874851</v>
      </c>
      <c r="AL41" s="343">
        <v>2.1811577704829563</v>
      </c>
      <c r="AM41" s="343">
        <v>2.1310541039385571</v>
      </c>
      <c r="AN41" s="343">
        <v>2.0809870186488726</v>
      </c>
      <c r="AO41" s="343">
        <v>2.0309670059850577</v>
      </c>
      <c r="AP41" s="343">
        <v>1.9810041175817878</v>
      </c>
    </row>
    <row r="42" spans="1:42">
      <c r="A42" s="100" t="s">
        <v>27</v>
      </c>
      <c r="B42" s="92">
        <v>3.5189118495921292</v>
      </c>
      <c r="C42" s="92">
        <v>3.5521559786344108</v>
      </c>
      <c r="D42" s="92">
        <v>3.5767544345905633</v>
      </c>
      <c r="E42" s="92">
        <v>3.5537972281426025</v>
      </c>
      <c r="F42" s="92">
        <v>2.8276758305322298</v>
      </c>
      <c r="G42" s="92">
        <v>3.1895903266405679</v>
      </c>
      <c r="H42" s="92">
        <v>3.2320795682475154</v>
      </c>
      <c r="I42" s="92">
        <v>2.9584001647966391</v>
      </c>
      <c r="J42" s="92">
        <v>4.9264605019960772</v>
      </c>
      <c r="K42" s="92">
        <v>4.4444190554432215</v>
      </c>
      <c r="L42" s="92">
        <v>3.9499599509151482</v>
      </c>
      <c r="M42" s="92">
        <v>4.8243579454066294</v>
      </c>
      <c r="N42" s="92">
        <v>6.234807741399</v>
      </c>
      <c r="O42" s="92">
        <v>5.9336475425485347</v>
      </c>
      <c r="P42" s="92">
        <v>5.6178477900838271</v>
      </c>
      <c r="Q42" s="92">
        <v>5.2388804353450906</v>
      </c>
      <c r="R42" s="92">
        <v>5.1575169600544184</v>
      </c>
      <c r="S42" s="92">
        <v>4.3766502630105677</v>
      </c>
      <c r="T42" s="92">
        <v>3.8607242099455972</v>
      </c>
      <c r="U42" s="92">
        <v>3.1595018493197018</v>
      </c>
      <c r="V42" s="92">
        <v>2.90313196167308</v>
      </c>
      <c r="W42" s="92">
        <v>4.0594467703580088</v>
      </c>
      <c r="X42" s="92">
        <v>3.8982625676919742</v>
      </c>
      <c r="Y42" s="92">
        <v>3.8850095483295206</v>
      </c>
      <c r="Z42" s="92">
        <v>3.7567754662918538</v>
      </c>
      <c r="AA42" s="92">
        <v>3.66857611414017</v>
      </c>
      <c r="AB42" s="92">
        <v>3.5979792719136992</v>
      </c>
      <c r="AC42" s="92">
        <v>3.6831367945946969</v>
      </c>
      <c r="AD42" s="92">
        <v>3.5715926626176588</v>
      </c>
      <c r="AE42" s="92">
        <v>3.7816428863333806</v>
      </c>
      <c r="AF42" s="92">
        <v>3.6121133299396315</v>
      </c>
      <c r="AG42" s="92">
        <v>3.7529855785859065</v>
      </c>
      <c r="AH42" s="92">
        <v>3.8435414222147148</v>
      </c>
      <c r="AI42" s="342">
        <v>2.994712803962444</v>
      </c>
      <c r="AJ42" s="342">
        <f t="shared" ref="AJ42:AJ53" si="12">AI42+(AK42-AI42)/2</f>
        <v>2.8249014277781548</v>
      </c>
      <c r="AK42" s="342">
        <v>2.6550900515938656</v>
      </c>
      <c r="AL42" s="342">
        <f t="shared" ref="AL42:AL53" si="13">AK42+(AN42-AK42)/3</f>
        <v>2.4607509306053359</v>
      </c>
      <c r="AM42" s="342">
        <f t="shared" ref="AM42:AM53" si="14">AK42+(AN42-AK42)*2/3</f>
        <v>2.2664118096168058</v>
      </c>
      <c r="AN42" s="342">
        <v>2.0720726886282761</v>
      </c>
      <c r="AO42" s="342">
        <f t="shared" ref="AO42:AO53" si="15">AN42+(AP42-AN42)/2</f>
        <v>1.8877347845970243</v>
      </c>
      <c r="AP42" s="342">
        <v>1.7033968805657724</v>
      </c>
    </row>
    <row r="43" spans="1:42" ht="48">
      <c r="A43" s="100" t="s">
        <v>121</v>
      </c>
      <c r="B43" s="92">
        <v>5.1808409870441317</v>
      </c>
      <c r="C43" s="92">
        <v>5.8830662393831705</v>
      </c>
      <c r="D43" s="92">
        <v>5.5166043260517954</v>
      </c>
      <c r="E43" s="92">
        <v>6.1421568439309917</v>
      </c>
      <c r="F43" s="92">
        <v>5.5117452642855156</v>
      </c>
      <c r="G43" s="92">
        <v>6.0960163808802017</v>
      </c>
      <c r="H43" s="92">
        <v>6.7160435436346946</v>
      </c>
      <c r="I43" s="92">
        <v>6.2222519777590479</v>
      </c>
      <c r="J43" s="92">
        <v>5.8660259411049953</v>
      </c>
      <c r="K43" s="92">
        <v>5.9839083532633452</v>
      </c>
      <c r="L43" s="92">
        <v>5.7783035441869481</v>
      </c>
      <c r="M43" s="92">
        <v>6.3350317959892415</v>
      </c>
      <c r="N43" s="92">
        <v>5.8410812553357756</v>
      </c>
      <c r="O43" s="92">
        <v>6.0612511761573131</v>
      </c>
      <c r="P43" s="92">
        <v>5.5937546681769668</v>
      </c>
      <c r="Q43" s="92">
        <v>5.7741759399517552</v>
      </c>
      <c r="R43" s="92">
        <v>5.1566243550818509</v>
      </c>
      <c r="S43" s="92">
        <v>4.7743229494841533</v>
      </c>
      <c r="T43" s="92">
        <v>4.9975759931571222</v>
      </c>
      <c r="U43" s="92">
        <v>3.9718084574803751</v>
      </c>
      <c r="V43" s="92">
        <v>4.4774570887216214</v>
      </c>
      <c r="W43" s="92">
        <v>3.6623528703784345</v>
      </c>
      <c r="X43" s="92">
        <v>3.6712194850759259</v>
      </c>
      <c r="Y43" s="92">
        <v>3.7002197603937503</v>
      </c>
      <c r="Z43" s="92">
        <v>3.0444738515455025</v>
      </c>
      <c r="AA43" s="92">
        <v>3.1292842144900499</v>
      </c>
      <c r="AB43" s="92">
        <v>3.2142225571951411</v>
      </c>
      <c r="AC43" s="92">
        <v>3.1949110206794407</v>
      </c>
      <c r="AD43" s="92">
        <v>3.1339739742391721</v>
      </c>
      <c r="AE43" s="92">
        <v>3.0241628140862624</v>
      </c>
      <c r="AF43" s="92">
        <v>3.4865009653328549</v>
      </c>
      <c r="AG43" s="92">
        <v>3.6091155787133129</v>
      </c>
      <c r="AH43" s="92">
        <v>3.1567869016626662</v>
      </c>
      <c r="AI43" s="342">
        <v>3.1075200511936623</v>
      </c>
      <c r="AJ43" s="342">
        <f t="shared" si="12"/>
        <v>3.055641510706459</v>
      </c>
      <c r="AK43" s="342">
        <v>3.0037629702192556</v>
      </c>
      <c r="AL43" s="342">
        <f t="shared" si="13"/>
        <v>2.8841057989800527</v>
      </c>
      <c r="AM43" s="342">
        <f t="shared" si="14"/>
        <v>2.7644486277408498</v>
      </c>
      <c r="AN43" s="342">
        <v>2.6447914565016468</v>
      </c>
      <c r="AO43" s="342">
        <f t="shared" si="15"/>
        <v>2.5254140570370902</v>
      </c>
      <c r="AP43" s="342">
        <v>2.406036657572534</v>
      </c>
    </row>
    <row r="44" spans="1:42" ht="24">
      <c r="A44" s="100" t="s">
        <v>328</v>
      </c>
      <c r="B44" s="92">
        <v>8.6359875553987617</v>
      </c>
      <c r="C44" s="92">
        <v>10.567354912645673</v>
      </c>
      <c r="D44" s="92">
        <v>9.6569908530162127</v>
      </c>
      <c r="E44" s="92">
        <v>10.07476250238166</v>
      </c>
      <c r="F44" s="92">
        <v>10.061567942043567</v>
      </c>
      <c r="G44" s="92">
        <v>10.852724880092101</v>
      </c>
      <c r="H44" s="92">
        <v>10.78920128194626</v>
      </c>
      <c r="I44" s="92">
        <v>10.630661858319421</v>
      </c>
      <c r="J44" s="92">
        <v>10.726429535844295</v>
      </c>
      <c r="K44" s="92">
        <v>11.270003428642184</v>
      </c>
      <c r="L44" s="92">
        <v>10.572263718085241</v>
      </c>
      <c r="M44" s="92">
        <v>11.081070761578101</v>
      </c>
      <c r="N44" s="92">
        <v>11.117296526318238</v>
      </c>
      <c r="O44" s="92">
        <v>10.89852474272284</v>
      </c>
      <c r="P44" s="92">
        <v>10.46112172342888</v>
      </c>
      <c r="Q44" s="92">
        <v>11.23823001621269</v>
      </c>
      <c r="R44" s="92">
        <v>11.466542393851528</v>
      </c>
      <c r="S44" s="92">
        <v>11.563450314914743</v>
      </c>
      <c r="T44" s="92">
        <v>10.935681686483978</v>
      </c>
      <c r="U44" s="92">
        <v>10.161665583831565</v>
      </c>
      <c r="V44" s="92">
        <v>11.307880895855767</v>
      </c>
      <c r="W44" s="92">
        <v>10.774084670550657</v>
      </c>
      <c r="X44" s="92">
        <v>10.265543832583202</v>
      </c>
      <c r="Y44" s="92">
        <v>10.455516428366703</v>
      </c>
      <c r="Z44" s="92">
        <v>10.213344213761879</v>
      </c>
      <c r="AA44" s="92">
        <v>10.111009229306418</v>
      </c>
      <c r="AB44" s="92">
        <v>10.185637580998055</v>
      </c>
      <c r="AC44" s="92">
        <v>9.5491657998235659</v>
      </c>
      <c r="AD44" s="92">
        <v>9.6192003950892015</v>
      </c>
      <c r="AE44" s="92">
        <v>9.4631172950201456</v>
      </c>
      <c r="AF44" s="92">
        <v>8.7934921539635216</v>
      </c>
      <c r="AG44" s="92">
        <v>9.243908653130994</v>
      </c>
      <c r="AH44" s="92">
        <v>8.4795953135590789</v>
      </c>
      <c r="AI44" s="342">
        <v>7.2306405942977134</v>
      </c>
      <c r="AJ44" s="342">
        <f t="shared" si="12"/>
        <v>7.0877979180901729</v>
      </c>
      <c r="AK44" s="342">
        <v>6.9449552418826315</v>
      </c>
      <c r="AL44" s="342">
        <f t="shared" si="13"/>
        <v>6.6287927134181368</v>
      </c>
      <c r="AM44" s="342">
        <f t="shared" si="14"/>
        <v>6.3126301849536421</v>
      </c>
      <c r="AN44" s="342">
        <v>5.9964676564891475</v>
      </c>
      <c r="AO44" s="342">
        <f t="shared" si="15"/>
        <v>5.6981564439422119</v>
      </c>
      <c r="AP44" s="342">
        <v>5.3998452313952772</v>
      </c>
    </row>
    <row r="45" spans="1:42" s="200" customFormat="1" ht="24">
      <c r="A45" s="199" t="s">
        <v>414</v>
      </c>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f t="shared" ref="AA45:AC45" si="16">$AE$45/$AE$44*AA44</f>
        <v>1.950004111797593</v>
      </c>
      <c r="AB45" s="201">
        <f t="shared" si="16"/>
        <v>1.9643968978543564</v>
      </c>
      <c r="AC45" s="201">
        <f t="shared" si="16"/>
        <v>1.8416472729468805</v>
      </c>
      <c r="AD45" s="201">
        <f>$AE$45/$AE$44*AD44</f>
        <v>1.8551541094692161</v>
      </c>
      <c r="AE45" s="201">
        <v>1.8250520019531249</v>
      </c>
      <c r="AF45" s="201">
        <v>1.723773193359375</v>
      </c>
      <c r="AG45" s="201">
        <v>1.67817578125</v>
      </c>
      <c r="AH45" s="201">
        <v>1.5167747192382812</v>
      </c>
      <c r="AI45" s="343">
        <v>1.3755813598632813</v>
      </c>
      <c r="AJ45" s="343">
        <v>1.2616436767578125</v>
      </c>
      <c r="AK45" s="343">
        <v>1.1485201416015625</v>
      </c>
      <c r="AL45" s="343">
        <v>1.0163195800781251</v>
      </c>
      <c r="AM45" s="343">
        <v>0.89030688476562503</v>
      </c>
      <c r="AN45" s="343">
        <v>0.77035205078125002</v>
      </c>
      <c r="AO45" s="343">
        <v>0.65632580566406251</v>
      </c>
      <c r="AP45" s="343">
        <v>0.54809997558593748</v>
      </c>
    </row>
    <row r="46" spans="1:42" ht="36">
      <c r="A46" s="100" t="s">
        <v>330</v>
      </c>
      <c r="B46" s="92">
        <v>25.272793324588303</v>
      </c>
      <c r="C46" s="92">
        <v>25.348214763646332</v>
      </c>
      <c r="D46" s="92">
        <v>23.882856746896017</v>
      </c>
      <c r="E46" s="92">
        <v>23.14328543089627</v>
      </c>
      <c r="F46" s="92">
        <v>22.835360041559458</v>
      </c>
      <c r="G46" s="92">
        <v>21.914812040715763</v>
      </c>
      <c r="H46" s="92">
        <v>21.396134699815317</v>
      </c>
      <c r="I46" s="92">
        <v>22.893986267268545</v>
      </c>
      <c r="J46" s="92">
        <v>23.197297551523832</v>
      </c>
      <c r="K46" s="92">
        <v>23.746584488924814</v>
      </c>
      <c r="L46" s="92">
        <v>25.031811101246106</v>
      </c>
      <c r="M46" s="92">
        <v>23.087942778253929</v>
      </c>
      <c r="N46" s="92">
        <v>24.441131143483542</v>
      </c>
      <c r="O46" s="92">
        <v>24.152148836743695</v>
      </c>
      <c r="P46" s="92">
        <v>24.257308120768201</v>
      </c>
      <c r="Q46" s="92">
        <v>24.719160457042356</v>
      </c>
      <c r="R46" s="92">
        <v>25.549776060116947</v>
      </c>
      <c r="S46" s="92">
        <v>26.447072669684001</v>
      </c>
      <c r="T46" s="92">
        <v>24.030154758622672</v>
      </c>
      <c r="U46" s="92">
        <v>15.10781219752598</v>
      </c>
      <c r="V46" s="92">
        <v>19.189894681236094</v>
      </c>
      <c r="W46" s="92">
        <v>17.493283519719164</v>
      </c>
      <c r="X46" s="92">
        <v>16.822710774842367</v>
      </c>
      <c r="Y46" s="92">
        <v>18.435393733162584</v>
      </c>
      <c r="Z46" s="92">
        <v>18.104341799552792</v>
      </c>
      <c r="AA46" s="92">
        <v>17.779317551136533</v>
      </c>
      <c r="AB46" s="92">
        <v>17.160493668430465</v>
      </c>
      <c r="AC46" s="92">
        <v>18.515085779411148</v>
      </c>
      <c r="AD46" s="92">
        <v>18.312409148924186</v>
      </c>
      <c r="AE46" s="92">
        <v>16.786840162996779</v>
      </c>
      <c r="AF46" s="92">
        <v>12.781823822845366</v>
      </c>
      <c r="AG46" s="92">
        <v>15.731716040894481</v>
      </c>
      <c r="AH46" s="92">
        <v>13.692080797510576</v>
      </c>
      <c r="AI46" s="342">
        <v>13.440400576100309</v>
      </c>
      <c r="AJ46" s="342">
        <f t="shared" si="12"/>
        <v>13.399692106489045</v>
      </c>
      <c r="AK46" s="342">
        <v>13.358983636877783</v>
      </c>
      <c r="AL46" s="342">
        <f t="shared" si="13"/>
        <v>11.965188143650293</v>
      </c>
      <c r="AM46" s="342">
        <f t="shared" si="14"/>
        <v>10.571392650422805</v>
      </c>
      <c r="AN46" s="342">
        <v>9.177597157195315</v>
      </c>
      <c r="AO46" s="342">
        <f t="shared" si="15"/>
        <v>7.6536226936857075</v>
      </c>
      <c r="AP46" s="342">
        <v>6.1296482301760999</v>
      </c>
    </row>
    <row r="47" spans="1:42" ht="36">
      <c r="A47" s="100" t="s">
        <v>41</v>
      </c>
      <c r="B47" s="92">
        <v>7.6414689600903607</v>
      </c>
      <c r="C47" s="92">
        <v>8.2599574485753386</v>
      </c>
      <c r="D47" s="92">
        <v>8.2875295594600118</v>
      </c>
      <c r="E47" s="92">
        <v>6.5815955706369653</v>
      </c>
      <c r="F47" s="92">
        <v>6.182516111148983</v>
      </c>
      <c r="G47" s="92">
        <v>6.080381306557074</v>
      </c>
      <c r="H47" s="92">
        <v>6.0102792656996904</v>
      </c>
      <c r="I47" s="92">
        <v>5.9800260241178069</v>
      </c>
      <c r="J47" s="92">
        <v>6.4489037639737292</v>
      </c>
      <c r="K47" s="92">
        <v>7.2583319908256527</v>
      </c>
      <c r="L47" s="92">
        <v>5.9136572422397542</v>
      </c>
      <c r="M47" s="92">
        <v>5.3794689151745079</v>
      </c>
      <c r="N47" s="92">
        <v>6.3448047499529938</v>
      </c>
      <c r="O47" s="92">
        <v>5.7450683834054193</v>
      </c>
      <c r="P47" s="92">
        <v>4.6061839267039035</v>
      </c>
      <c r="Q47" s="92">
        <v>3.8437096069522587</v>
      </c>
      <c r="R47" s="92">
        <v>4.0330893265360528</v>
      </c>
      <c r="S47" s="92">
        <v>3.6983427610150494</v>
      </c>
      <c r="T47" s="92">
        <v>3.2408030866490725</v>
      </c>
      <c r="U47" s="92">
        <v>2.5408286061737964</v>
      </c>
      <c r="V47" s="92">
        <v>2.855688515412087</v>
      </c>
      <c r="W47" s="92">
        <v>2.5445327912419544</v>
      </c>
      <c r="X47" s="92">
        <v>2.4865857869592785</v>
      </c>
      <c r="Y47" s="92">
        <v>2.4858023069764963</v>
      </c>
      <c r="Z47" s="92">
        <v>2.5390881713198477</v>
      </c>
      <c r="AA47" s="92">
        <v>2.5960582119382964</v>
      </c>
      <c r="AB47" s="92">
        <v>2.9996417368647572</v>
      </c>
      <c r="AC47" s="92">
        <v>2.7073804748763184</v>
      </c>
      <c r="AD47" s="92">
        <v>2.5645498793374291</v>
      </c>
      <c r="AE47" s="92">
        <v>2.4190312685432245</v>
      </c>
      <c r="AF47" s="92">
        <v>2.1597482701172863</v>
      </c>
      <c r="AG47" s="92">
        <v>2.3299486395328488</v>
      </c>
      <c r="AH47" s="92">
        <v>2.1788963955334153</v>
      </c>
      <c r="AI47" s="342">
        <v>2.0489552257264276</v>
      </c>
      <c r="AJ47" s="342">
        <f t="shared" si="12"/>
        <v>2.0630911019963865</v>
      </c>
      <c r="AK47" s="342">
        <v>2.0772269782663457</v>
      </c>
      <c r="AL47" s="342">
        <f t="shared" si="13"/>
        <v>2.0420312479599918</v>
      </c>
      <c r="AM47" s="342">
        <f t="shared" si="14"/>
        <v>2.0068355176536379</v>
      </c>
      <c r="AN47" s="342">
        <v>1.971639787347284</v>
      </c>
      <c r="AO47" s="342">
        <f t="shared" si="15"/>
        <v>1.9207776777987355</v>
      </c>
      <c r="AP47" s="342">
        <v>1.8699155682501869</v>
      </c>
    </row>
    <row r="48" spans="1:42" s="200" customFormat="1" ht="24">
      <c r="A48" s="199" t="s">
        <v>415</v>
      </c>
      <c r="B48" s="201"/>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f t="shared" ref="AA48:AC48" si="17">$AE$48/$AE$47*AA47</f>
        <v>1.3215468475993239</v>
      </c>
      <c r="AB48" s="201">
        <f t="shared" si="17"/>
        <v>1.5269946810326771</v>
      </c>
      <c r="AC48" s="201">
        <f t="shared" si="17"/>
        <v>1.3782164496047133</v>
      </c>
      <c r="AD48" s="201">
        <f>$AE$48/$AE$47*AD47</f>
        <v>1.3055072467035114</v>
      </c>
      <c r="AE48" s="201">
        <v>1.2314296853923843</v>
      </c>
      <c r="AF48" s="201">
        <v>1.159154329520629</v>
      </c>
      <c r="AG48" s="201">
        <v>1.1872546947788509</v>
      </c>
      <c r="AH48" s="201">
        <v>1.1431563802885407</v>
      </c>
      <c r="AI48" s="343">
        <v>1.1044210723177101</v>
      </c>
      <c r="AJ48" s="343">
        <v>1.1203404734262745</v>
      </c>
      <c r="AK48" s="343">
        <v>1.1330433553877195</v>
      </c>
      <c r="AL48" s="343">
        <v>1.1131818346027318</v>
      </c>
      <c r="AM48" s="343">
        <v>1.0925244972031736</v>
      </c>
      <c r="AN48" s="343">
        <v>1.0711649863775203</v>
      </c>
      <c r="AO48" s="343">
        <v>1.0491946903090548</v>
      </c>
      <c r="AP48" s="343">
        <v>1.0267024695941034</v>
      </c>
    </row>
    <row r="49" spans="1:42" ht="48">
      <c r="A49" s="100" t="s">
        <v>43</v>
      </c>
      <c r="B49" s="92">
        <v>30.09551754871352</v>
      </c>
      <c r="C49" s="92">
        <v>32.516013614475561</v>
      </c>
      <c r="D49" s="92">
        <v>27.56899148860488</v>
      </c>
      <c r="E49" s="92">
        <v>25.439369575874426</v>
      </c>
      <c r="F49" s="92">
        <v>27.020426487011825</v>
      </c>
      <c r="G49" s="92">
        <v>26.516345348303673</v>
      </c>
      <c r="H49" s="92">
        <v>26.129760379681031</v>
      </c>
      <c r="I49" s="92">
        <v>25.041795626540885</v>
      </c>
      <c r="J49" s="92">
        <v>25.581320441031462</v>
      </c>
      <c r="K49" s="92">
        <v>25.636551252056783</v>
      </c>
      <c r="L49" s="92">
        <v>25.193463609692042</v>
      </c>
      <c r="M49" s="92">
        <v>26.017734470125479</v>
      </c>
      <c r="N49" s="92">
        <v>24.806866432995783</v>
      </c>
      <c r="O49" s="92">
        <v>24.684141250273758</v>
      </c>
      <c r="P49" s="92">
        <v>25.359028747371926</v>
      </c>
      <c r="Q49" s="92">
        <v>25.086465373785707</v>
      </c>
      <c r="R49" s="92">
        <v>26.269525251811178</v>
      </c>
      <c r="S49" s="92">
        <v>26.37423242370453</v>
      </c>
      <c r="T49" s="92">
        <v>25.07678783391421</v>
      </c>
      <c r="U49" s="92">
        <v>21.979257373794734</v>
      </c>
      <c r="V49" s="92">
        <v>22.754047674303681</v>
      </c>
      <c r="W49" s="92">
        <v>22.617414827161912</v>
      </c>
      <c r="X49" s="92">
        <v>21.367110529217832</v>
      </c>
      <c r="Y49" s="92">
        <v>20.661816306060857</v>
      </c>
      <c r="Z49" s="92">
        <v>19.959215741275919</v>
      </c>
      <c r="AA49" s="92">
        <v>18.820595174178113</v>
      </c>
      <c r="AB49" s="92">
        <v>18.964869496313671</v>
      </c>
      <c r="AC49" s="92">
        <v>18.448971024652717</v>
      </c>
      <c r="AD49" s="92">
        <v>19.38445746248448</v>
      </c>
      <c r="AE49" s="92">
        <v>19.364076692986298</v>
      </c>
      <c r="AF49" s="92">
        <v>17.839787855896322</v>
      </c>
      <c r="AG49" s="92">
        <v>19.160454024752354</v>
      </c>
      <c r="AH49" s="92">
        <v>18.395529788980436</v>
      </c>
      <c r="AI49" s="342">
        <v>16.924490960795051</v>
      </c>
      <c r="AJ49" s="342">
        <f t="shared" si="12"/>
        <v>16.679647572162274</v>
      </c>
      <c r="AK49" s="342">
        <v>16.434804183529501</v>
      </c>
      <c r="AL49" s="342">
        <f t="shared" si="13"/>
        <v>15.776554679029774</v>
      </c>
      <c r="AM49" s="342">
        <f t="shared" si="14"/>
        <v>15.118305174530049</v>
      </c>
      <c r="AN49" s="342">
        <v>14.460055670030322</v>
      </c>
      <c r="AO49" s="342">
        <f t="shared" si="15"/>
        <v>13.811878741232718</v>
      </c>
      <c r="AP49" s="342">
        <v>13.163701812435113</v>
      </c>
    </row>
    <row r="50" spans="1:42" s="200" customFormat="1" ht="24">
      <c r="A50" s="199" t="s">
        <v>416</v>
      </c>
      <c r="B50" s="201"/>
      <c r="C50" s="201"/>
      <c r="D50" s="201"/>
      <c r="E50" s="201"/>
      <c r="F50" s="201"/>
      <c r="G50" s="201"/>
      <c r="H50" s="201"/>
      <c r="I50" s="201"/>
      <c r="J50" s="201"/>
      <c r="K50" s="201"/>
      <c r="L50" s="201"/>
      <c r="M50" s="201"/>
      <c r="N50" s="201"/>
      <c r="O50" s="201"/>
      <c r="P50" s="201"/>
      <c r="Q50" s="201"/>
      <c r="R50" s="201"/>
      <c r="S50" s="201"/>
      <c r="T50" s="201"/>
      <c r="U50" s="201"/>
      <c r="V50" s="201"/>
      <c r="W50" s="201"/>
      <c r="X50" s="201"/>
      <c r="Y50" s="201"/>
      <c r="Z50" s="201"/>
      <c r="AA50" s="201">
        <f t="shared" ref="AA50:AC50" si="18">$AE$50/$AE$49*AA49</f>
        <v>9.1640317006936662</v>
      </c>
      <c r="AB50" s="201">
        <f t="shared" si="18"/>
        <v>9.2342810445327128</v>
      </c>
      <c r="AC50" s="201">
        <f t="shared" si="18"/>
        <v>8.9830822963057262</v>
      </c>
      <c r="AD50" s="201">
        <f>$AE$50/$AE$49*AD49</f>
        <v>9.4385847547838306</v>
      </c>
      <c r="AE50" s="201">
        <v>9.4286610506694082</v>
      </c>
      <c r="AF50" s="201">
        <v>8.8189524751627371</v>
      </c>
      <c r="AG50" s="201">
        <v>9.4403507926124757</v>
      </c>
      <c r="AH50" s="201">
        <v>9.1911716598889974</v>
      </c>
      <c r="AI50" s="343">
        <v>8.9473317570830826</v>
      </c>
      <c r="AJ50" s="343">
        <v>8.8440156348174312</v>
      </c>
      <c r="AK50" s="343">
        <v>8.7419385297045338</v>
      </c>
      <c r="AL50" s="343">
        <v>8.6163141772708691</v>
      </c>
      <c r="AM50" s="343">
        <v>8.4926398980793927</v>
      </c>
      <c r="AN50" s="343">
        <v>8.3709067809972915</v>
      </c>
      <c r="AO50" s="343">
        <v>8.2511061590323767</v>
      </c>
      <c r="AP50" s="343">
        <v>8.1332294872627759</v>
      </c>
    </row>
    <row r="51" spans="1:42" s="200" customFormat="1" ht="18.600000000000001" customHeight="1">
      <c r="A51" s="199" t="s">
        <v>333</v>
      </c>
      <c r="B51" s="201"/>
      <c r="C51" s="201"/>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A51" s="201">
        <f t="shared" ref="AA51:AC51" si="19">$AE$51/$AE$49*AA49</f>
        <v>2.9482448212802574</v>
      </c>
      <c r="AB51" s="201">
        <f t="shared" si="19"/>
        <v>2.970845383012942</v>
      </c>
      <c r="AC51" s="201">
        <f t="shared" si="19"/>
        <v>2.8900299261528097</v>
      </c>
      <c r="AD51" s="201">
        <f>$AE$51/$AE$49*AD49</f>
        <v>3.0365738064175236</v>
      </c>
      <c r="AE51" s="201">
        <v>3.0333811604055017</v>
      </c>
      <c r="AF51" s="201">
        <v>2.6317657891342709</v>
      </c>
      <c r="AG51" s="201">
        <v>2.9448967097820189</v>
      </c>
      <c r="AH51" s="201">
        <v>2.7599570268546141</v>
      </c>
      <c r="AI51" s="343">
        <v>2.6009279216344448</v>
      </c>
      <c r="AJ51" s="343">
        <v>2.4186472793595777</v>
      </c>
      <c r="AK51" s="343">
        <v>2.2471967167133537</v>
      </c>
      <c r="AL51" s="343">
        <v>2.0871954190716866</v>
      </c>
      <c r="AM51" s="343">
        <v>1.9326527987908835</v>
      </c>
      <c r="AN51" s="343">
        <v>1.7834628059350726</v>
      </c>
      <c r="AO51" s="343">
        <v>1.6395201555761016</v>
      </c>
      <c r="AP51" s="343">
        <v>1.5007206308201824</v>
      </c>
    </row>
    <row r="52" spans="1:42">
      <c r="A52" s="100" t="s">
        <v>46</v>
      </c>
      <c r="B52" s="92">
        <v>4.5188755142403529</v>
      </c>
      <c r="C52" s="92">
        <v>5.6632218155114948</v>
      </c>
      <c r="D52" s="92">
        <v>5.0640236489401165</v>
      </c>
      <c r="E52" s="92">
        <v>4.8188181410118975</v>
      </c>
      <c r="F52" s="92">
        <v>5.1306084701818033</v>
      </c>
      <c r="G52" s="92">
        <v>5.2089183110310717</v>
      </c>
      <c r="H52" s="92">
        <v>5.5125701267585301</v>
      </c>
      <c r="I52" s="92">
        <v>5.4646078459622629</v>
      </c>
      <c r="J52" s="92">
        <v>5.4835989302324721</v>
      </c>
      <c r="K52" s="92">
        <v>5.3037895064715785</v>
      </c>
      <c r="L52" s="92">
        <v>5.2586198120328342</v>
      </c>
      <c r="M52" s="92">
        <v>5.069594251729038</v>
      </c>
      <c r="N52" s="92">
        <v>4.5683843704895439</v>
      </c>
      <c r="O52" s="92">
        <v>4.6553445210490763</v>
      </c>
      <c r="P52" s="92">
        <v>4.2882591221693316</v>
      </c>
      <c r="Q52" s="92">
        <v>4.066350673066041</v>
      </c>
      <c r="R52" s="92">
        <v>3.9928046178673631</v>
      </c>
      <c r="S52" s="92">
        <v>3.6515971829206593</v>
      </c>
      <c r="T52" s="92">
        <v>3.2454138891207003</v>
      </c>
      <c r="U52" s="92">
        <v>2.77382213645858</v>
      </c>
      <c r="V52" s="92">
        <v>2.9774237487504798</v>
      </c>
      <c r="W52" s="92">
        <v>2.4703124154292824</v>
      </c>
      <c r="X52" s="92">
        <v>2.5060057941350888</v>
      </c>
      <c r="Y52" s="92">
        <v>2.8834211206259304</v>
      </c>
      <c r="Z52" s="92">
        <v>2.7303595180282847</v>
      </c>
      <c r="AA52" s="92">
        <v>2.6532868473127182</v>
      </c>
      <c r="AB52" s="92">
        <v>2.7334779009930044</v>
      </c>
      <c r="AC52" s="92">
        <v>2.5239038404163585</v>
      </c>
      <c r="AD52" s="92">
        <v>2.5570015931356984</v>
      </c>
      <c r="AE52" s="92">
        <v>2.4360020801853519</v>
      </c>
      <c r="AF52" s="92">
        <v>2.3459355003407456</v>
      </c>
      <c r="AG52" s="92">
        <v>2.5328011220710311</v>
      </c>
      <c r="AH52" s="92">
        <v>2.3408301841251946</v>
      </c>
      <c r="AI52" s="342">
        <v>2.1777250168311717</v>
      </c>
      <c r="AJ52" s="342">
        <f t="shared" si="12"/>
        <v>2.1572885450757675</v>
      </c>
      <c r="AK52" s="342">
        <v>2.1368520733203633</v>
      </c>
      <c r="AL52" s="342">
        <f t="shared" si="13"/>
        <v>2.0496110301057362</v>
      </c>
      <c r="AM52" s="342">
        <f t="shared" si="14"/>
        <v>1.9623699868911089</v>
      </c>
      <c r="AN52" s="342">
        <v>1.8751289436764818</v>
      </c>
      <c r="AO52" s="342">
        <f t="shared" si="15"/>
        <v>1.7885705516262895</v>
      </c>
      <c r="AP52" s="342">
        <v>1.7020121595760975</v>
      </c>
    </row>
    <row r="53" spans="1:42" ht="36">
      <c r="A53" s="100" t="s">
        <v>47</v>
      </c>
      <c r="B53" s="92">
        <v>4.7123735933335062</v>
      </c>
      <c r="C53" s="92">
        <v>5.3131185533476266</v>
      </c>
      <c r="D53" s="92">
        <v>4.5758460533581848</v>
      </c>
      <c r="E53" s="92">
        <v>5.1629110830116707</v>
      </c>
      <c r="F53" s="92">
        <v>4.5685770849165799</v>
      </c>
      <c r="G53" s="92">
        <v>5.1787096848160861</v>
      </c>
      <c r="H53" s="92">
        <v>5.5380625231760536</v>
      </c>
      <c r="I53" s="92">
        <v>5.2368097567328604</v>
      </c>
      <c r="J53" s="92">
        <v>5.2827664819817395</v>
      </c>
      <c r="K53" s="92">
        <v>4.94576158989861</v>
      </c>
      <c r="L53" s="92">
        <v>4.8267385113571386</v>
      </c>
      <c r="M53" s="92">
        <v>5.134840275529406</v>
      </c>
      <c r="N53" s="92">
        <v>4.6345525805497862</v>
      </c>
      <c r="O53" s="92">
        <v>4.4297923014113039</v>
      </c>
      <c r="P53" s="92">
        <v>4.4277080155092907</v>
      </c>
      <c r="Q53" s="92">
        <v>4.1535056355025333</v>
      </c>
      <c r="R53" s="92">
        <v>3.9301738955637777</v>
      </c>
      <c r="S53" s="92">
        <v>3.8293281005536697</v>
      </c>
      <c r="T53" s="92">
        <v>3.7234463388573045</v>
      </c>
      <c r="U53" s="92">
        <v>3.0532148779455275</v>
      </c>
      <c r="V53" s="92">
        <v>3.0612086137455057</v>
      </c>
      <c r="W53" s="92">
        <v>2.8460871362853677</v>
      </c>
      <c r="X53" s="92">
        <v>2.6730455085935922</v>
      </c>
      <c r="Y53" s="92">
        <v>2.6894506511624643</v>
      </c>
      <c r="Z53" s="92">
        <v>2.6607208818242505</v>
      </c>
      <c r="AA53" s="92">
        <v>2.8343137316417173</v>
      </c>
      <c r="AB53" s="92">
        <v>2.7929822228075483</v>
      </c>
      <c r="AC53" s="92">
        <v>2.9831281639014517</v>
      </c>
      <c r="AD53" s="92">
        <v>2.7536661221860359</v>
      </c>
      <c r="AE53" s="92">
        <v>2.5547941048119593</v>
      </c>
      <c r="AF53" s="92">
        <v>1.7708906299315734</v>
      </c>
      <c r="AG53" s="92">
        <v>1.9585085274387855</v>
      </c>
      <c r="AH53" s="92">
        <v>1.9274267667189466</v>
      </c>
      <c r="AI53" s="342">
        <v>1.5807704403083325</v>
      </c>
      <c r="AJ53" s="342">
        <f t="shared" si="12"/>
        <v>1.5563351516579269</v>
      </c>
      <c r="AK53" s="342">
        <v>1.5318998630075211</v>
      </c>
      <c r="AL53" s="342">
        <f t="shared" si="13"/>
        <v>1.4730848760984436</v>
      </c>
      <c r="AM53" s="342">
        <f t="shared" si="14"/>
        <v>1.4142698891893664</v>
      </c>
      <c r="AN53" s="342">
        <v>1.3554549022802889</v>
      </c>
      <c r="AO53" s="342">
        <f t="shared" si="15"/>
        <v>1.2976407536484089</v>
      </c>
      <c r="AP53" s="342">
        <v>1.2398266050165292</v>
      </c>
    </row>
    <row r="54" spans="1:42">
      <c r="A54" s="101" t="s">
        <v>417</v>
      </c>
      <c r="B54" s="102">
        <v>139.41235708110617</v>
      </c>
      <c r="C54" s="102">
        <v>151.89183646121165</v>
      </c>
      <c r="D54" s="102">
        <v>139.88142431020884</v>
      </c>
      <c r="E54" s="102">
        <v>134.65960850739339</v>
      </c>
      <c r="F54" s="102">
        <v>135.64050632397675</v>
      </c>
      <c r="G54" s="102">
        <v>136.15607604219784</v>
      </c>
      <c r="H54" s="102">
        <v>138.34134201870756</v>
      </c>
      <c r="I54" s="102">
        <v>137.13826234046226</v>
      </c>
      <c r="J54" s="102">
        <v>131.1724301373653</v>
      </c>
      <c r="K54" s="102">
        <v>128.06303646556773</v>
      </c>
      <c r="L54" s="102">
        <v>124.85290712402379</v>
      </c>
      <c r="M54" s="102">
        <v>128.12295387179074</v>
      </c>
      <c r="N54" s="102">
        <v>124.11357638132556</v>
      </c>
      <c r="O54" s="102">
        <v>122.73969097349925</v>
      </c>
      <c r="P54" s="102">
        <v>117.38966772560711</v>
      </c>
      <c r="Q54" s="102">
        <v>118.1411825548013</v>
      </c>
      <c r="R54" s="102">
        <v>117.12223885958227</v>
      </c>
      <c r="S54" s="102">
        <v>115.91151385782084</v>
      </c>
      <c r="T54" s="102">
        <v>108.80246303875371</v>
      </c>
      <c r="U54" s="102">
        <v>89.62857906276021</v>
      </c>
      <c r="V54" s="102">
        <v>95.520772479518413</v>
      </c>
      <c r="W54" s="102">
        <v>91.040917341922935</v>
      </c>
      <c r="X54" s="102">
        <v>87.509972619775681</v>
      </c>
      <c r="Y54" s="102">
        <v>88.70397293702483</v>
      </c>
      <c r="Z54" s="102">
        <v>86.003307762565967</v>
      </c>
      <c r="AA54" s="102">
        <v>83.687003346046325</v>
      </c>
      <c r="AB54" s="102">
        <v>83.202542373971468</v>
      </c>
      <c r="AC54" s="102">
        <v>82.886589807512323</v>
      </c>
      <c r="AD54" s="102">
        <v>82.798768827183423</v>
      </c>
      <c r="AE54" s="102">
        <v>79.778832154130399</v>
      </c>
      <c r="AF54" s="102">
        <v>72.046643272841251</v>
      </c>
      <c r="AG54" s="102">
        <v>77.952642915577499</v>
      </c>
      <c r="AH54" s="102">
        <v>72.973903494554136</v>
      </c>
      <c r="AI54" s="340">
        <v>66.83300301627888</v>
      </c>
      <c r="AJ54" s="341">
        <f t="shared" ref="AJ54:AP54" si="20">AJ39+AJ42+AJ43+AJ44+AJ46+AJ47+AJ49+AJ52+AJ53</f>
        <v>65.81853956683895</v>
      </c>
      <c r="AK54" s="341">
        <f t="shared" si="20"/>
        <v>64.804076117399006</v>
      </c>
      <c r="AL54" s="341">
        <f t="shared" si="20"/>
        <v>60.903096761643397</v>
      </c>
      <c r="AM54" s="341">
        <f t="shared" si="20"/>
        <v>57.002117405887802</v>
      </c>
      <c r="AN54" s="341">
        <f t="shared" si="20"/>
        <v>53.101138050132192</v>
      </c>
      <c r="AO54" s="341">
        <f t="shared" si="20"/>
        <v>49.127336652628344</v>
      </c>
      <c r="AP54" s="341">
        <f t="shared" si="20"/>
        <v>45.153535255124503</v>
      </c>
    </row>
    <row r="55" spans="1:42" ht="15">
      <c r="A55" s="103"/>
      <c r="B55" s="96"/>
      <c r="C55" s="96"/>
      <c r="D55" s="96"/>
      <c r="E55" s="96"/>
      <c r="F55" s="96"/>
      <c r="G55" s="96"/>
      <c r="H55" s="96"/>
      <c r="I55" s="96"/>
      <c r="J55" s="96"/>
      <c r="K55" s="70"/>
      <c r="L55" s="70"/>
      <c r="M55" s="70"/>
      <c r="N55" s="70"/>
      <c r="O55" s="70"/>
      <c r="P55" s="70"/>
      <c r="Q55" s="70"/>
      <c r="R55" s="70"/>
      <c r="S55" s="70"/>
      <c r="T55" s="70"/>
      <c r="U55" s="70"/>
      <c r="V55" s="70"/>
      <c r="W55" s="70"/>
      <c r="X55" s="70"/>
      <c r="Y55" s="70"/>
      <c r="Z55" s="70"/>
      <c r="AA55" s="70"/>
      <c r="AB55" s="70"/>
      <c r="AC55" s="70"/>
      <c r="AD55" s="70"/>
      <c r="AE55" s="70"/>
      <c r="AF55" s="70"/>
      <c r="AG55" s="70"/>
      <c r="AH55" s="70"/>
    </row>
    <row r="56" spans="1:42">
      <c r="A56" s="104" t="s">
        <v>398</v>
      </c>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428" t="s">
        <v>393</v>
      </c>
      <c r="AJ56" s="428"/>
      <c r="AK56" s="428"/>
      <c r="AL56" s="428"/>
      <c r="AM56" s="428"/>
      <c r="AN56" s="428"/>
      <c r="AO56" s="428"/>
      <c r="AP56" s="428"/>
    </row>
    <row r="57" spans="1:42" ht="105.6">
      <c r="A57" s="75" t="s">
        <v>394</v>
      </c>
      <c r="B57" s="76">
        <v>1990</v>
      </c>
      <c r="C57" s="76">
        <v>1991</v>
      </c>
      <c r="D57" s="76">
        <v>1992</v>
      </c>
      <c r="E57" s="76">
        <v>1993</v>
      </c>
      <c r="F57" s="76">
        <v>1994</v>
      </c>
      <c r="G57" s="76">
        <v>1995</v>
      </c>
      <c r="H57" s="76">
        <v>1996</v>
      </c>
      <c r="I57" s="76">
        <v>1997</v>
      </c>
      <c r="J57" s="76">
        <v>1998</v>
      </c>
      <c r="K57" s="76">
        <v>1999</v>
      </c>
      <c r="L57" s="76">
        <v>2000</v>
      </c>
      <c r="M57" s="76">
        <v>2001</v>
      </c>
      <c r="N57" s="76">
        <v>2002</v>
      </c>
      <c r="O57" s="76">
        <v>2003</v>
      </c>
      <c r="P57" s="76">
        <v>2004</v>
      </c>
      <c r="Q57" s="76">
        <v>2005</v>
      </c>
      <c r="R57" s="76">
        <v>2006</v>
      </c>
      <c r="S57" s="76">
        <v>2007</v>
      </c>
      <c r="T57" s="76">
        <v>2008</v>
      </c>
      <c r="U57" s="76">
        <v>2009</v>
      </c>
      <c r="V57" s="76">
        <v>2010</v>
      </c>
      <c r="W57" s="76">
        <v>2011</v>
      </c>
      <c r="X57" s="76">
        <v>2012</v>
      </c>
      <c r="Y57" s="76">
        <v>2013</v>
      </c>
      <c r="Z57" s="76">
        <v>2014</v>
      </c>
      <c r="AA57" s="76">
        <v>2015</v>
      </c>
      <c r="AB57" s="76">
        <v>2016</v>
      </c>
      <c r="AC57" s="76">
        <v>2017</v>
      </c>
      <c r="AD57" s="76">
        <v>2018</v>
      </c>
      <c r="AE57" s="76">
        <v>2019</v>
      </c>
      <c r="AF57" s="76">
        <v>2020</v>
      </c>
      <c r="AG57" s="77">
        <v>2021</v>
      </c>
      <c r="AH57" s="77" t="s">
        <v>395</v>
      </c>
      <c r="AI57" s="76">
        <v>2023</v>
      </c>
      <c r="AJ57" s="152">
        <v>2024</v>
      </c>
      <c r="AK57" s="76">
        <v>2025</v>
      </c>
      <c r="AL57" s="152">
        <v>2026</v>
      </c>
      <c r="AM57" s="152">
        <v>2027</v>
      </c>
      <c r="AN57" s="76">
        <v>2028</v>
      </c>
      <c r="AO57" s="152">
        <v>2029</v>
      </c>
      <c r="AP57" s="76">
        <v>2030</v>
      </c>
    </row>
    <row r="58" spans="1:42" ht="24">
      <c r="A58" s="100" t="s">
        <v>83</v>
      </c>
      <c r="B58" s="92">
        <v>13.142111806929284</v>
      </c>
      <c r="C58" s="92">
        <v>13.840001845181327</v>
      </c>
      <c r="D58" s="92">
        <v>14.607798727681526</v>
      </c>
      <c r="E58" s="92">
        <v>15.395827193170614</v>
      </c>
      <c r="F58" s="92">
        <v>15.715333853232002</v>
      </c>
      <c r="G58" s="92">
        <v>15.973514234100518</v>
      </c>
      <c r="H58" s="92">
        <v>16.138036179311737</v>
      </c>
      <c r="I58" s="92">
        <v>16.35204717364736</v>
      </c>
      <c r="J58" s="92">
        <v>16.912503555457942</v>
      </c>
      <c r="K58" s="92">
        <v>17.209150983400242</v>
      </c>
      <c r="L58" s="92">
        <v>17.532781321948651</v>
      </c>
      <c r="M58" s="92">
        <v>17.864052554734648</v>
      </c>
      <c r="N58" s="92">
        <v>18.158461227128274</v>
      </c>
      <c r="O58" s="92">
        <v>18.300820174364965</v>
      </c>
      <c r="P58" s="92">
        <v>18.25432513356035</v>
      </c>
      <c r="Q58" s="92">
        <v>18.049560270627708</v>
      </c>
      <c r="R58" s="92">
        <v>17.95806218999401</v>
      </c>
      <c r="S58" s="92">
        <v>18.007766408689015</v>
      </c>
      <c r="T58" s="92">
        <v>17.973854013720661</v>
      </c>
      <c r="U58" s="92">
        <v>17.282984928995319</v>
      </c>
      <c r="V58" s="92">
        <v>17.217906610001673</v>
      </c>
      <c r="W58" s="92">
        <v>16.12655106909132</v>
      </c>
      <c r="X58" s="92">
        <v>15.70263118681668</v>
      </c>
      <c r="Y58" s="92">
        <v>14.108634335270841</v>
      </c>
      <c r="Z58" s="92">
        <v>13.162877327386346</v>
      </c>
      <c r="AA58" s="92">
        <v>12.342013514549405</v>
      </c>
      <c r="AB58" s="92">
        <v>12.375164432677204</v>
      </c>
      <c r="AC58" s="92">
        <v>12.476096581609356</v>
      </c>
      <c r="AD58" s="92">
        <v>12.208796173456442</v>
      </c>
      <c r="AE58" s="92">
        <v>13.108752638415172</v>
      </c>
      <c r="AF58" s="92">
        <v>13.083344206636982</v>
      </c>
      <c r="AG58" s="92">
        <v>12.254994336144859</v>
      </c>
      <c r="AH58" s="92">
        <v>12.254994336144859</v>
      </c>
      <c r="AI58" s="290">
        <v>11.513502680129694</v>
      </c>
      <c r="AJ58" s="290">
        <f>AI58+(AK58-AI58)/2</f>
        <v>9.9104619641366867</v>
      </c>
      <c r="AK58" s="290">
        <v>8.3074212481436778</v>
      </c>
      <c r="AL58" s="290">
        <f>AK58+(AN58-AK58)/3</f>
        <v>7.0875354398301758</v>
      </c>
      <c r="AM58" s="290">
        <f>AK58+(AN58-AK58)*2/3</f>
        <v>5.8676496315166737</v>
      </c>
      <c r="AN58" s="290">
        <v>4.6477638232031708</v>
      </c>
      <c r="AO58" s="290">
        <f>AN58+(AP58-AN58)/2</f>
        <v>4.3644313340425729</v>
      </c>
      <c r="AP58" s="290">
        <v>4.0810988448819741</v>
      </c>
    </row>
    <row r="59" spans="1:42" ht="48">
      <c r="A59" s="100" t="s">
        <v>84</v>
      </c>
      <c r="B59" s="92">
        <v>2.0615099111468691</v>
      </c>
      <c r="C59" s="92">
        <v>2.0442040834343169</v>
      </c>
      <c r="D59" s="92">
        <v>2.0714619060189046</v>
      </c>
      <c r="E59" s="92">
        <v>2.0551997562178048</v>
      </c>
      <c r="F59" s="92">
        <v>2.0896184824077033</v>
      </c>
      <c r="G59" s="92">
        <v>2.0345353436763474</v>
      </c>
      <c r="H59" s="92">
        <v>1.895872104548264</v>
      </c>
      <c r="I59" s="92">
        <v>1.6680747140217942</v>
      </c>
      <c r="J59" s="92">
        <v>1.5170207543530176</v>
      </c>
      <c r="K59" s="92">
        <v>1.4075184015577198</v>
      </c>
      <c r="L59" s="92">
        <v>1.4761314223978776</v>
      </c>
      <c r="M59" s="92">
        <v>1.4013443391665563</v>
      </c>
      <c r="N59" s="92">
        <v>1.3887420311761065</v>
      </c>
      <c r="O59" s="92">
        <v>1.4016688536327033</v>
      </c>
      <c r="P59" s="92">
        <v>1.3167560134217042</v>
      </c>
      <c r="Q59" s="92">
        <v>1.3815967378295384</v>
      </c>
      <c r="R59" s="92">
        <v>1.44271170414719</v>
      </c>
      <c r="S59" s="92">
        <v>1.342504303294993</v>
      </c>
      <c r="T59" s="92">
        <v>1.364202481735495</v>
      </c>
      <c r="U59" s="92">
        <v>1.354606113458541</v>
      </c>
      <c r="V59" s="92">
        <v>1.4209099033757662</v>
      </c>
      <c r="W59" s="92">
        <v>1.4672963299370427</v>
      </c>
      <c r="X59" s="92">
        <v>1.3919883891052249</v>
      </c>
      <c r="Y59" s="92">
        <v>1.3613776263389386</v>
      </c>
      <c r="Z59" s="92">
        <v>1.596145882677009</v>
      </c>
      <c r="AA59" s="92">
        <v>1.3748767187546753</v>
      </c>
      <c r="AB59" s="92">
        <v>1.3577462161078475</v>
      </c>
      <c r="AC59" s="92">
        <v>1.2954840368907807</v>
      </c>
      <c r="AD59" s="92">
        <v>1.2469625456394386</v>
      </c>
      <c r="AE59" s="92">
        <v>1.6022758836369131</v>
      </c>
      <c r="AF59" s="92">
        <v>1.5862253972008609</v>
      </c>
      <c r="AG59" s="92">
        <v>1.6232369031122913</v>
      </c>
      <c r="AH59" s="92">
        <v>1.5919188069750989</v>
      </c>
      <c r="AI59" s="290">
        <v>1.6916565198346902</v>
      </c>
      <c r="AJ59" s="290">
        <f t="shared" ref="AJ59:AJ61" si="21">AI59+(AK59-AI59)/2</f>
        <v>1.693386789356329</v>
      </c>
      <c r="AK59" s="290">
        <v>1.6951170588779676</v>
      </c>
      <c r="AL59" s="290">
        <f t="shared" ref="AL59:AL61" si="22">AK59+(AN59-AK59)/3</f>
        <v>1.7074000768488282</v>
      </c>
      <c r="AM59" s="290">
        <f t="shared" ref="AM59:AM61" si="23">AK59+(AN59-AK59)*2/3</f>
        <v>1.7196830948196886</v>
      </c>
      <c r="AN59" s="290">
        <v>1.7319661127905492</v>
      </c>
      <c r="AO59" s="290">
        <f t="shared" ref="AO59:AO61" si="24">AN59+(AP59-AN59)/2</f>
        <v>1.7465268672115903</v>
      </c>
      <c r="AP59" s="290">
        <v>1.7610876216326314</v>
      </c>
    </row>
    <row r="60" spans="1:42" ht="36">
      <c r="A60" s="100" t="s">
        <v>85</v>
      </c>
      <c r="B60" s="92">
        <v>0.13923342777136355</v>
      </c>
      <c r="C60" s="92">
        <v>0.14302835905671266</v>
      </c>
      <c r="D60" s="92">
        <v>0.14691190240736599</v>
      </c>
      <c r="E60" s="92">
        <v>0.15088630052426164</v>
      </c>
      <c r="F60" s="92">
        <v>0.17100389863306992</v>
      </c>
      <c r="G60" s="92">
        <v>0.19131279761501169</v>
      </c>
      <c r="H60" s="92">
        <v>0.21468386052349037</v>
      </c>
      <c r="I60" s="92">
        <v>0.22089415681366328</v>
      </c>
      <c r="J60" s="92">
        <v>0.25019114586335378</v>
      </c>
      <c r="K60" s="92">
        <v>0.3385572425442897</v>
      </c>
      <c r="L60" s="92">
        <v>0.37676270022928759</v>
      </c>
      <c r="M60" s="92">
        <v>0.39543517983939896</v>
      </c>
      <c r="N60" s="92">
        <v>0.41430730434984481</v>
      </c>
      <c r="O60" s="92">
        <v>0.44607508513006189</v>
      </c>
      <c r="P60" s="92">
        <v>0.47842480490530465</v>
      </c>
      <c r="Q60" s="92">
        <v>0.50534979388942081</v>
      </c>
      <c r="R60" s="92">
        <v>0.53089791545864851</v>
      </c>
      <c r="S60" s="92">
        <v>0.54395607046898864</v>
      </c>
      <c r="T60" s="92">
        <v>0.55648405412680413</v>
      </c>
      <c r="U60" s="92">
        <v>0.57805077899157142</v>
      </c>
      <c r="V60" s="92">
        <v>0.59679480141986863</v>
      </c>
      <c r="W60" s="92">
        <v>0.71827997229000773</v>
      </c>
      <c r="X60" s="92">
        <v>0.83988971253292177</v>
      </c>
      <c r="Y60" s="92">
        <v>0.87734633672037055</v>
      </c>
      <c r="Z60" s="92">
        <v>0.91494139234344052</v>
      </c>
      <c r="AA60" s="92">
        <v>0.93193051987448972</v>
      </c>
      <c r="AB60" s="92">
        <v>0.94884490720631376</v>
      </c>
      <c r="AC60" s="92">
        <v>0.98436204722362863</v>
      </c>
      <c r="AD60" s="92">
        <v>1.0199035251640767</v>
      </c>
      <c r="AE60" s="92">
        <v>0.97164899883818268</v>
      </c>
      <c r="AF60" s="92">
        <v>0.92416012480018095</v>
      </c>
      <c r="AG60" s="92">
        <v>0.99624190248002875</v>
      </c>
      <c r="AH60" s="92">
        <v>0.99624190248002875</v>
      </c>
      <c r="AI60" s="290">
        <v>0.9437458579768544</v>
      </c>
      <c r="AJ60" s="290">
        <f t="shared" si="21"/>
        <v>0.96032345944274167</v>
      </c>
      <c r="AK60" s="290">
        <v>0.97690106090862905</v>
      </c>
      <c r="AL60" s="290">
        <f t="shared" si="22"/>
        <v>0.99084138486117046</v>
      </c>
      <c r="AM60" s="290">
        <f t="shared" si="23"/>
        <v>1.0047817088137119</v>
      </c>
      <c r="AN60" s="290">
        <v>1.0187220327662534</v>
      </c>
      <c r="AO60" s="290">
        <f t="shared" si="24"/>
        <v>1.0241820148916652</v>
      </c>
      <c r="AP60" s="290">
        <v>1.0296419970170769</v>
      </c>
    </row>
    <row r="61" spans="1:42" ht="24">
      <c r="A61" s="100" t="s">
        <v>86</v>
      </c>
      <c r="B61" s="92">
        <v>0.42764518509161931</v>
      </c>
      <c r="C61" s="92">
        <v>0.44126159322159308</v>
      </c>
      <c r="D61" s="92">
        <v>0.43858092837150153</v>
      </c>
      <c r="E61" s="92">
        <v>0.44106130566565044</v>
      </c>
      <c r="F61" s="92">
        <v>0.44315192032534195</v>
      </c>
      <c r="G61" s="92">
        <v>0.45180795027218018</v>
      </c>
      <c r="H61" s="92">
        <v>0.44740606769130487</v>
      </c>
      <c r="I61" s="92">
        <v>0.44059591299308215</v>
      </c>
      <c r="J61" s="92">
        <v>0.43272305002398886</v>
      </c>
      <c r="K61" s="92">
        <v>0.42338957189942211</v>
      </c>
      <c r="L61" s="92">
        <v>0.42666516887242617</v>
      </c>
      <c r="M61" s="92">
        <v>0.41255483998994191</v>
      </c>
      <c r="N61" s="92">
        <v>0.4006855300036769</v>
      </c>
      <c r="O61" s="92">
        <v>0.38515092958969033</v>
      </c>
      <c r="P61" s="92">
        <v>0.3691068535239439</v>
      </c>
      <c r="Q61" s="92">
        <v>0.35559896064867974</v>
      </c>
      <c r="R61" s="92">
        <v>0.35211067949855607</v>
      </c>
      <c r="S61" s="92">
        <v>0.31910711757219223</v>
      </c>
      <c r="T61" s="92">
        <v>0.32317491044709645</v>
      </c>
      <c r="U61" s="92">
        <v>0.33156279305077591</v>
      </c>
      <c r="V61" s="92">
        <v>0.34386624519223458</v>
      </c>
      <c r="W61" s="92">
        <v>0.3413993884228802</v>
      </c>
      <c r="X61" s="92">
        <v>0.33860174196356174</v>
      </c>
      <c r="Y61" s="92">
        <v>0.32563388992924019</v>
      </c>
      <c r="Z61" s="92">
        <v>0.33344346595340152</v>
      </c>
      <c r="AA61" s="92">
        <v>0.34151797627851949</v>
      </c>
      <c r="AB61" s="92">
        <v>0.32959469170965794</v>
      </c>
      <c r="AC61" s="92">
        <v>0.33673397551939482</v>
      </c>
      <c r="AD61" s="92">
        <v>0.34608777298351112</v>
      </c>
      <c r="AE61" s="92">
        <v>0.33661581187532741</v>
      </c>
      <c r="AF61" s="92">
        <v>0.33382320530548948</v>
      </c>
      <c r="AG61" s="92">
        <v>0.33431951841985891</v>
      </c>
      <c r="AH61" s="92">
        <v>0.33431951841985891</v>
      </c>
      <c r="AI61" s="290">
        <v>0.3341812789966403</v>
      </c>
      <c r="AJ61" s="290">
        <f t="shared" si="21"/>
        <v>0.33428186134340565</v>
      </c>
      <c r="AK61" s="290">
        <v>0.33438244369017095</v>
      </c>
      <c r="AL61" s="290">
        <f t="shared" si="22"/>
        <v>0.33438408465311581</v>
      </c>
      <c r="AM61" s="290">
        <f t="shared" si="23"/>
        <v>0.33438572561606067</v>
      </c>
      <c r="AN61" s="290">
        <v>0.33438736657900553</v>
      </c>
      <c r="AO61" s="290">
        <f t="shared" si="24"/>
        <v>0.33480083567836449</v>
      </c>
      <c r="AP61" s="290">
        <v>0.33521430477772346</v>
      </c>
    </row>
    <row r="62" spans="1:42">
      <c r="A62" s="106" t="s">
        <v>418</v>
      </c>
      <c r="B62" s="107">
        <v>15.770500330939136</v>
      </c>
      <c r="C62" s="107">
        <v>16.468495880893951</v>
      </c>
      <c r="D62" s="107">
        <v>17.264753464479298</v>
      </c>
      <c r="E62" s="107">
        <v>18.042974555578333</v>
      </c>
      <c r="F62" s="107">
        <v>18.419108154598117</v>
      </c>
      <c r="G62" s="107">
        <v>18.651170325664058</v>
      </c>
      <c r="H62" s="107">
        <v>18.695998212074795</v>
      </c>
      <c r="I62" s="107">
        <v>18.681611957475901</v>
      </c>
      <c r="J62" s="107">
        <v>19.1124385056983</v>
      </c>
      <c r="K62" s="107">
        <v>19.378616199401673</v>
      </c>
      <c r="L62" s="107">
        <v>19.812340613448242</v>
      </c>
      <c r="M62" s="107">
        <v>20.073386913730545</v>
      </c>
      <c r="N62" s="107">
        <v>20.362196092657904</v>
      </c>
      <c r="O62" s="107">
        <v>20.533715042717422</v>
      </c>
      <c r="P62" s="107">
        <v>20.418612805411303</v>
      </c>
      <c r="Q62" s="107">
        <v>20.292105762995352</v>
      </c>
      <c r="R62" s="107">
        <v>20.283782489098403</v>
      </c>
      <c r="S62" s="107">
        <v>20.213333900025191</v>
      </c>
      <c r="T62" s="107">
        <v>20.21771546003006</v>
      </c>
      <c r="U62" s="107">
        <v>19.547204614496206</v>
      </c>
      <c r="V62" s="107">
        <v>19.579477559989542</v>
      </c>
      <c r="W62" s="107">
        <v>18.653526759741251</v>
      </c>
      <c r="X62" s="107">
        <v>18.273111030418388</v>
      </c>
      <c r="Y62" s="107">
        <v>16.672992188259389</v>
      </c>
      <c r="Z62" s="107">
        <v>16.007408068360196</v>
      </c>
      <c r="AA62" s="107">
        <v>14.99033872945709</v>
      </c>
      <c r="AB62" s="107">
        <v>15.011350247701023</v>
      </c>
      <c r="AC62" s="107">
        <v>15.092676641243161</v>
      </c>
      <c r="AD62" s="107">
        <v>14.821750017243469</v>
      </c>
      <c r="AE62" s="107">
        <v>16.019293332765596</v>
      </c>
      <c r="AF62" s="107">
        <v>15.927552933943513</v>
      </c>
      <c r="AG62" s="107">
        <v>15.208792660157037</v>
      </c>
      <c r="AH62" s="107">
        <v>15.177474564019846</v>
      </c>
      <c r="AI62" s="149">
        <f t="shared" ref="AI62" si="25">SUM(AI58:AI61)</f>
        <v>14.483086336937879</v>
      </c>
      <c r="AJ62" s="149">
        <f>SUM(AJ58:AJ61)</f>
        <v>12.898454074279163</v>
      </c>
      <c r="AK62" s="149">
        <f t="shared" ref="AK62:AP62" si="26">SUM(AK58:AK61)</f>
        <v>11.313821811620445</v>
      </c>
      <c r="AL62" s="149">
        <f t="shared" si="26"/>
        <v>10.120160986193291</v>
      </c>
      <c r="AM62" s="149">
        <f t="shared" si="26"/>
        <v>8.9265001607661354</v>
      </c>
      <c r="AN62" s="149">
        <f t="shared" si="26"/>
        <v>7.732839335338979</v>
      </c>
      <c r="AO62" s="149">
        <f t="shared" si="26"/>
        <v>7.4699410518241933</v>
      </c>
      <c r="AP62" s="149">
        <f t="shared" si="26"/>
        <v>7.2070427683094058</v>
      </c>
    </row>
    <row r="63" spans="1:42" ht="15">
      <c r="A63" s="95"/>
      <c r="B63" s="96"/>
      <c r="C63" s="96"/>
      <c r="D63" s="96"/>
      <c r="E63" s="96"/>
      <c r="F63" s="96"/>
      <c r="G63" s="96"/>
      <c r="H63" s="96"/>
      <c r="I63" s="96"/>
      <c r="J63" s="96"/>
      <c r="K63" s="70"/>
      <c r="L63" s="70"/>
      <c r="M63" s="70"/>
      <c r="N63" s="70"/>
      <c r="O63" s="70"/>
      <c r="P63" s="70"/>
      <c r="Q63" s="70"/>
      <c r="R63" s="70"/>
      <c r="S63" s="70"/>
      <c r="T63" s="70"/>
      <c r="U63" s="70"/>
      <c r="V63" s="70"/>
      <c r="W63" s="70"/>
      <c r="X63" s="70"/>
      <c r="Y63" s="70"/>
      <c r="Z63" s="70"/>
      <c r="AA63" s="70"/>
      <c r="AB63" s="70"/>
      <c r="AC63" s="70"/>
      <c r="AD63" s="70"/>
      <c r="AE63" s="70"/>
      <c r="AF63" s="70"/>
      <c r="AG63" s="70"/>
      <c r="AH63" s="70"/>
    </row>
    <row r="64" spans="1:42">
      <c r="A64" s="108" t="s">
        <v>399</v>
      </c>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429" t="s">
        <v>393</v>
      </c>
      <c r="AJ64" s="429"/>
      <c r="AK64" s="429"/>
      <c r="AL64" s="429"/>
      <c r="AM64" s="429"/>
      <c r="AN64" s="429"/>
      <c r="AO64" s="429"/>
      <c r="AP64" s="429"/>
    </row>
    <row r="65" spans="1:42" ht="105.6">
      <c r="A65" s="75" t="s">
        <v>394</v>
      </c>
      <c r="B65" s="76">
        <v>1990</v>
      </c>
      <c r="C65" s="76">
        <v>1991</v>
      </c>
      <c r="D65" s="76">
        <v>1992</v>
      </c>
      <c r="E65" s="76">
        <v>1993</v>
      </c>
      <c r="F65" s="76">
        <v>1994</v>
      </c>
      <c r="G65" s="76">
        <v>1995</v>
      </c>
      <c r="H65" s="76">
        <v>1996</v>
      </c>
      <c r="I65" s="76">
        <v>1997</v>
      </c>
      <c r="J65" s="76">
        <v>1998</v>
      </c>
      <c r="K65" s="76">
        <v>1999</v>
      </c>
      <c r="L65" s="76">
        <v>2000</v>
      </c>
      <c r="M65" s="76">
        <v>2001</v>
      </c>
      <c r="N65" s="76">
        <v>2002</v>
      </c>
      <c r="O65" s="76">
        <v>2003</v>
      </c>
      <c r="P65" s="76">
        <v>2004</v>
      </c>
      <c r="Q65" s="76">
        <v>2005</v>
      </c>
      <c r="R65" s="76">
        <v>2006</v>
      </c>
      <c r="S65" s="76">
        <v>2007</v>
      </c>
      <c r="T65" s="76">
        <v>2008</v>
      </c>
      <c r="U65" s="76">
        <v>2009</v>
      </c>
      <c r="V65" s="76">
        <v>2010</v>
      </c>
      <c r="W65" s="76">
        <v>2011</v>
      </c>
      <c r="X65" s="76">
        <v>2012</v>
      </c>
      <c r="Y65" s="76">
        <v>2013</v>
      </c>
      <c r="Z65" s="76">
        <v>2014</v>
      </c>
      <c r="AA65" s="76">
        <v>2015</v>
      </c>
      <c r="AB65" s="76">
        <v>2016</v>
      </c>
      <c r="AC65" s="76">
        <v>2017</v>
      </c>
      <c r="AD65" s="76">
        <v>2018</v>
      </c>
      <c r="AE65" s="76">
        <v>2019</v>
      </c>
      <c r="AF65" s="76">
        <v>2020</v>
      </c>
      <c r="AG65" s="77">
        <v>2021</v>
      </c>
      <c r="AH65" s="77" t="s">
        <v>395</v>
      </c>
      <c r="AI65" s="76">
        <v>2023</v>
      </c>
      <c r="AJ65" s="152">
        <v>2024</v>
      </c>
      <c r="AK65" s="76">
        <v>2025</v>
      </c>
      <c r="AL65" s="152">
        <v>2026</v>
      </c>
      <c r="AM65" s="152">
        <v>2027</v>
      </c>
      <c r="AN65" s="76">
        <v>2028</v>
      </c>
      <c r="AO65" s="152">
        <v>2029</v>
      </c>
      <c r="AP65" s="76">
        <v>2030</v>
      </c>
    </row>
    <row r="66" spans="1:42" ht="60">
      <c r="A66" s="91" t="s">
        <v>214</v>
      </c>
      <c r="B66" s="92">
        <v>59.196209676224974</v>
      </c>
      <c r="C66" s="92">
        <v>66.847660248554035</v>
      </c>
      <c r="D66" s="92">
        <v>65.657324960226958</v>
      </c>
      <c r="E66" s="92">
        <v>63.71784569657774</v>
      </c>
      <c r="F66" s="92">
        <v>59.733831109741281</v>
      </c>
      <c r="G66" s="92">
        <v>59.319202668848071</v>
      </c>
      <c r="H66" s="92">
        <v>65.624484123162645</v>
      </c>
      <c r="I66" s="92">
        <v>61.428563577657691</v>
      </c>
      <c r="J66" s="92">
        <v>63.730524757796637</v>
      </c>
      <c r="K66" s="92">
        <v>64.631486105002409</v>
      </c>
      <c r="L66" s="92">
        <v>62.437793283281643</v>
      </c>
      <c r="M66" s="92">
        <v>66.411302373543677</v>
      </c>
      <c r="N66" s="92">
        <v>63.64073967512293</v>
      </c>
      <c r="O66" s="92">
        <v>65.006226285645155</v>
      </c>
      <c r="P66" s="92">
        <v>68.753947511090416</v>
      </c>
      <c r="Q66" s="92">
        <v>67.816122801760258</v>
      </c>
      <c r="R66" s="92">
        <v>64.897550184202487</v>
      </c>
      <c r="S66" s="92">
        <v>57.145719684323829</v>
      </c>
      <c r="T66" s="92">
        <v>62.261241499693867</v>
      </c>
      <c r="U66" s="92">
        <v>62.252885410835859</v>
      </c>
      <c r="V66" s="92">
        <v>60.243761582705879</v>
      </c>
      <c r="W66" s="92">
        <v>52.146190689935253</v>
      </c>
      <c r="X66" s="92">
        <v>56.703322548623895</v>
      </c>
      <c r="Y66" s="92">
        <v>57.929564463708232</v>
      </c>
      <c r="Z66" s="92">
        <v>45.085234296897227</v>
      </c>
      <c r="AA66" s="92">
        <v>47.184669180574062</v>
      </c>
      <c r="AB66" s="92">
        <v>48.406376377770812</v>
      </c>
      <c r="AC66" s="92">
        <v>47.244353595004085</v>
      </c>
      <c r="AD66" s="92">
        <v>43.686359349349537</v>
      </c>
      <c r="AE66" s="92">
        <v>42.249881963590838</v>
      </c>
      <c r="AF66" s="92">
        <v>39.946030758021074</v>
      </c>
      <c r="AG66" s="92">
        <v>42.348354647080313</v>
      </c>
      <c r="AH66" s="92">
        <v>35.239546405838098</v>
      </c>
      <c r="AI66" s="338">
        <v>36.405393738121653</v>
      </c>
      <c r="AJ66" s="338">
        <f>AI66+(AK66-AI66)/2</f>
        <v>33.482183885768926</v>
      </c>
      <c r="AK66" s="338">
        <v>30.558974033416199</v>
      </c>
      <c r="AL66" s="338">
        <f>AK66+(AN66-AK66)/3</f>
        <v>28.037092639478193</v>
      </c>
      <c r="AM66" s="338">
        <f>AK66+(AN66-AK66)*2/3</f>
        <v>25.515211245540183</v>
      </c>
      <c r="AN66" s="338">
        <v>22.993329851602176</v>
      </c>
      <c r="AO66" s="338">
        <f>AN66+(AP66-AN66)/2</f>
        <v>20.60033608577254</v>
      </c>
      <c r="AP66" s="338">
        <v>18.207342319942903</v>
      </c>
    </row>
    <row r="67" spans="1:42" ht="24">
      <c r="A67" s="91" t="s">
        <v>215</v>
      </c>
      <c r="B67" s="92">
        <v>0</v>
      </c>
      <c r="C67" s="92">
        <v>0</v>
      </c>
      <c r="D67" s="92">
        <v>0</v>
      </c>
      <c r="E67" s="92">
        <v>0</v>
      </c>
      <c r="F67" s="92">
        <v>0</v>
      </c>
      <c r="G67" s="92">
        <v>0</v>
      </c>
      <c r="H67" s="92">
        <v>0</v>
      </c>
      <c r="I67" s="92">
        <v>0</v>
      </c>
      <c r="J67" s="92">
        <v>0</v>
      </c>
      <c r="K67" s="92">
        <v>0</v>
      </c>
      <c r="L67" s="92">
        <v>5.799846182172302E-4</v>
      </c>
      <c r="M67" s="92">
        <v>2.2605061052149529E-3</v>
      </c>
      <c r="N67" s="92">
        <v>5.2113663100405447E-3</v>
      </c>
      <c r="O67" s="92">
        <v>4.4627608971739126E-2</v>
      </c>
      <c r="P67" s="92">
        <v>0.1080014881454827</v>
      </c>
      <c r="Q67" s="92">
        <v>0.15558341181549165</v>
      </c>
      <c r="R67" s="92">
        <v>0.22279522768897284</v>
      </c>
      <c r="S67" s="92">
        <v>0.29092341923864823</v>
      </c>
      <c r="T67" s="92">
        <v>0.356268791792411</v>
      </c>
      <c r="U67" s="92">
        <v>0.42206835863486519</v>
      </c>
      <c r="V67" s="92">
        <v>0.47234351037395406</v>
      </c>
      <c r="W67" s="92">
        <v>0.53054655878592283</v>
      </c>
      <c r="X67" s="92">
        <v>0.58747766490301701</v>
      </c>
      <c r="Y67" s="92">
        <v>0.67542388928175467</v>
      </c>
      <c r="Z67" s="92">
        <v>0.78007697516856134</v>
      </c>
      <c r="AA67" s="92">
        <v>0.86743578167983371</v>
      </c>
      <c r="AB67" s="92">
        <v>0.9510533255341731</v>
      </c>
      <c r="AC67" s="92">
        <v>1.0196089953668483</v>
      </c>
      <c r="AD67" s="92">
        <v>1.0938918363073953</v>
      </c>
      <c r="AE67" s="92">
        <v>1.1251115848828006</v>
      </c>
      <c r="AF67" s="92">
        <v>1.1156431108079023</v>
      </c>
      <c r="AG67" s="92">
        <v>1.0972006867247521</v>
      </c>
      <c r="AH67" s="92">
        <v>1.0093399897315449</v>
      </c>
      <c r="AI67" s="338">
        <v>1.0415221823892691</v>
      </c>
      <c r="AJ67" s="338">
        <f t="shared" ref="AJ67:AJ72" si="27">AI67+(AK67-AI67)/2</f>
        <v>1.0346422493971343</v>
      </c>
      <c r="AK67" s="338">
        <v>1.0277623164049998</v>
      </c>
      <c r="AL67" s="338">
        <f t="shared" ref="AL67:AL74" si="28">AK67+(AN67-AK67)/3</f>
        <v>1.0018810205286508</v>
      </c>
      <c r="AM67" s="338">
        <f t="shared" ref="AM67:AM74" si="29">AK67+(AN67-AK67)*2/3</f>
        <v>0.97599972465230156</v>
      </c>
      <c r="AN67" s="338">
        <v>0.95011842877595243</v>
      </c>
      <c r="AO67" s="338">
        <f t="shared" ref="AO67:AO72" si="30">AN67+(AP67-AN67)/2</f>
        <v>0.92677810009951289</v>
      </c>
      <c r="AP67" s="338">
        <v>0.90343777142307335</v>
      </c>
    </row>
    <row r="68" spans="1:42" ht="24">
      <c r="A68" s="91" t="s">
        <v>419</v>
      </c>
      <c r="B68" s="92">
        <v>0</v>
      </c>
      <c r="C68" s="92">
        <v>0</v>
      </c>
      <c r="D68" s="92">
        <v>0</v>
      </c>
      <c r="E68" s="92">
        <v>0</v>
      </c>
      <c r="F68" s="92">
        <v>2.2360497816345759E-5</v>
      </c>
      <c r="G68" s="92">
        <v>6.309285139134871E-5</v>
      </c>
      <c r="H68" s="92">
        <v>9.8783892377133525E-5</v>
      </c>
      <c r="I68" s="92">
        <v>1.3475384919718375E-4</v>
      </c>
      <c r="J68" s="92">
        <v>1.6889174473993357E-4</v>
      </c>
      <c r="K68" s="92">
        <v>2.0091729992777278E-4</v>
      </c>
      <c r="L68" s="92">
        <v>2.3144704869812468E-4</v>
      </c>
      <c r="M68" s="92">
        <v>2.5849170342404185E-4</v>
      </c>
      <c r="N68" s="92">
        <v>2.8104021746246951E-4</v>
      </c>
      <c r="O68" s="92">
        <v>3.0346742008089994E-4</v>
      </c>
      <c r="P68" s="92">
        <v>2.0415381292500704E-2</v>
      </c>
      <c r="Q68" s="92">
        <v>5.3876457047376376E-2</v>
      </c>
      <c r="R68" s="92">
        <v>7.2765722903944549E-2</v>
      </c>
      <c r="S68" s="92">
        <v>7.563976629961465E-2</v>
      </c>
      <c r="T68" s="92">
        <v>9.1332553743966413E-2</v>
      </c>
      <c r="U68" s="92">
        <v>0.10456507410519855</v>
      </c>
      <c r="V68" s="92">
        <v>0.15068328242969189</v>
      </c>
      <c r="W68" s="92">
        <v>0.14071043036879491</v>
      </c>
      <c r="X68" s="92">
        <v>0.15791222327731852</v>
      </c>
      <c r="Y68" s="92">
        <v>0.15225712019040857</v>
      </c>
      <c r="Z68" s="92">
        <v>0.15982897046011621</v>
      </c>
      <c r="AA68" s="92">
        <v>0.13782946112585895</v>
      </c>
      <c r="AB68" s="92">
        <v>0.13988171617884257</v>
      </c>
      <c r="AC68" s="92">
        <v>9.2717188454698035E-2</v>
      </c>
      <c r="AD68" s="92">
        <v>9.1433251218765582E-2</v>
      </c>
      <c r="AE68" s="92">
        <v>8.4854054742770704E-2</v>
      </c>
      <c r="AF68" s="92">
        <v>7.3513455469674305E-2</v>
      </c>
      <c r="AG68" s="92">
        <v>6.7274690097198497E-2</v>
      </c>
      <c r="AH68" s="92">
        <v>6.0857029951688915E-2</v>
      </c>
      <c r="AI68" s="338">
        <v>4.4284360022578406E-2</v>
      </c>
      <c r="AJ68" s="338">
        <f t="shared" si="27"/>
        <v>4.2744607171023935E-2</v>
      </c>
      <c r="AK68" s="338">
        <v>4.1204854319469464E-2</v>
      </c>
      <c r="AL68" s="338">
        <f t="shared" si="28"/>
        <v>3.8246905629477398E-2</v>
      </c>
      <c r="AM68" s="338">
        <f t="shared" si="29"/>
        <v>3.528895693948534E-2</v>
      </c>
      <c r="AN68" s="338">
        <v>3.2331008249493275E-2</v>
      </c>
      <c r="AO68" s="338">
        <f t="shared" si="30"/>
        <v>2.7525318523361555E-2</v>
      </c>
      <c r="AP68" s="338">
        <v>2.271962879722984E-2</v>
      </c>
    </row>
    <row r="69" spans="1:42" ht="60">
      <c r="A69" s="91" t="s">
        <v>216</v>
      </c>
      <c r="B69" s="92">
        <v>0.60058644816633822</v>
      </c>
      <c r="C69" s="92">
        <v>0.60198213152847901</v>
      </c>
      <c r="D69" s="92">
        <v>0.60615496099047839</v>
      </c>
      <c r="E69" s="92">
        <v>0.60027810131239323</v>
      </c>
      <c r="F69" s="92">
        <v>0.64612308456047418</v>
      </c>
      <c r="G69" s="92">
        <v>0.86350190761832457</v>
      </c>
      <c r="H69" s="92">
        <v>1.24376501612498</v>
      </c>
      <c r="I69" s="92">
        <v>1.4195685130958899</v>
      </c>
      <c r="J69" s="92">
        <v>1.5038352482584263</v>
      </c>
      <c r="K69" s="92">
        <v>1.4465777613499773</v>
      </c>
      <c r="L69" s="92">
        <v>1.6272880746661387</v>
      </c>
      <c r="M69" s="92">
        <v>1.6142415978934417</v>
      </c>
      <c r="N69" s="92">
        <v>1.6224805504613589</v>
      </c>
      <c r="O69" s="92">
        <v>1.7558474071049814</v>
      </c>
      <c r="P69" s="92">
        <v>1.8602507223952818</v>
      </c>
      <c r="Q69" s="92">
        <v>1.8733049218947015</v>
      </c>
      <c r="R69" s="92">
        <v>1.9081627707826807</v>
      </c>
      <c r="S69" s="92">
        <v>2.006851297427962</v>
      </c>
      <c r="T69" s="92">
        <v>1.9431905126630755</v>
      </c>
      <c r="U69" s="92">
        <v>1.5134230390624814</v>
      </c>
      <c r="V69" s="92">
        <v>1.5988994898662197</v>
      </c>
      <c r="W69" s="92">
        <v>1.6114489855764988</v>
      </c>
      <c r="X69" s="92">
        <v>1.4682725541054342</v>
      </c>
      <c r="Y69" s="92">
        <v>1.3880269368947167</v>
      </c>
      <c r="Z69" s="92">
        <v>1.4403333529466003</v>
      </c>
      <c r="AA69" s="92">
        <v>1.4516857734615192</v>
      </c>
      <c r="AB69" s="92">
        <v>1.4747536510667854</v>
      </c>
      <c r="AC69" s="92">
        <v>1.4904609531656188</v>
      </c>
      <c r="AD69" s="92">
        <v>1.2395937068046932</v>
      </c>
      <c r="AE69" s="92">
        <v>0.93162967845828226</v>
      </c>
      <c r="AF69" s="92">
        <v>0.90931613952285661</v>
      </c>
      <c r="AG69" s="92">
        <v>0.90937586855842512</v>
      </c>
      <c r="AH69" s="92">
        <v>0.90108383135556691</v>
      </c>
      <c r="AI69" s="338">
        <v>0.88566937282967573</v>
      </c>
      <c r="AJ69" s="338">
        <f t="shared" si="27"/>
        <v>0.88487163758391829</v>
      </c>
      <c r="AK69" s="338">
        <v>0.88407390233816097</v>
      </c>
      <c r="AL69" s="338">
        <f t="shared" si="28"/>
        <v>0.88324475734866226</v>
      </c>
      <c r="AM69" s="338">
        <f t="shared" si="29"/>
        <v>0.88241561235916355</v>
      </c>
      <c r="AN69" s="338">
        <v>0.88158646736966484</v>
      </c>
      <c r="AO69" s="338">
        <f t="shared" si="30"/>
        <v>0.87601177555778242</v>
      </c>
      <c r="AP69" s="338">
        <v>0.87043708374590001</v>
      </c>
    </row>
    <row r="70" spans="1:42" ht="36">
      <c r="A70" s="91" t="s">
        <v>420</v>
      </c>
      <c r="B70" s="92">
        <v>0.30530262227526717</v>
      </c>
      <c r="C70" s="92">
        <v>0.30476908806724157</v>
      </c>
      <c r="D70" s="92">
        <v>0.30433709772719242</v>
      </c>
      <c r="E70" s="92">
        <v>0.30371004674305824</v>
      </c>
      <c r="F70" s="92">
        <v>0.30330379481469399</v>
      </c>
      <c r="G70" s="92">
        <v>0.30303487514576177</v>
      </c>
      <c r="H70" s="92">
        <v>0.30239858365272398</v>
      </c>
      <c r="I70" s="92">
        <v>0.30171079045280286</v>
      </c>
      <c r="J70" s="92">
        <v>0.30139222791556303</v>
      </c>
      <c r="K70" s="92">
        <v>0.30124230644965566</v>
      </c>
      <c r="L70" s="92">
        <v>0.30076719270645502</v>
      </c>
      <c r="M70" s="92">
        <v>0.29978785367588529</v>
      </c>
      <c r="N70" s="92">
        <v>0.29974244256668214</v>
      </c>
      <c r="O70" s="92">
        <v>0.29986909357716668</v>
      </c>
      <c r="P70" s="92">
        <v>0.29974545478592851</v>
      </c>
      <c r="Q70" s="92">
        <v>0.2986500070335642</v>
      </c>
      <c r="R70" s="92">
        <v>0.2973373639047337</v>
      </c>
      <c r="S70" s="92">
        <v>0.29357219150231989</v>
      </c>
      <c r="T70" s="92">
        <v>0.28773158409831107</v>
      </c>
      <c r="U70" s="92">
        <v>0.28815616525436616</v>
      </c>
      <c r="V70" s="92">
        <v>0.28771367831218053</v>
      </c>
      <c r="W70" s="92">
        <v>0.28694426706185094</v>
      </c>
      <c r="X70" s="92">
        <v>0.28574571944227828</v>
      </c>
      <c r="Y70" s="92">
        <v>0.2856213734404443</v>
      </c>
      <c r="Z70" s="92">
        <v>0.2848076509349543</v>
      </c>
      <c r="AA70" s="92">
        <v>0.28430224686264455</v>
      </c>
      <c r="AB70" s="92">
        <v>0.2832205206557501</v>
      </c>
      <c r="AC70" s="92">
        <v>0.28152198829116082</v>
      </c>
      <c r="AD70" s="92">
        <v>0.28055013331349032</v>
      </c>
      <c r="AE70" s="92">
        <v>0.28089841594061327</v>
      </c>
      <c r="AF70" s="92">
        <v>0.28006950446087714</v>
      </c>
      <c r="AG70" s="92">
        <v>0.27868498654160057</v>
      </c>
      <c r="AH70" s="92">
        <v>0.30696541093935803</v>
      </c>
      <c r="AI70" s="338">
        <v>0.20163879393016262</v>
      </c>
      <c r="AJ70" s="338">
        <f t="shared" si="27"/>
        <v>0.1674823560055636</v>
      </c>
      <c r="AK70" s="338">
        <v>0.13332591808096456</v>
      </c>
      <c r="AL70" s="338">
        <f t="shared" si="28"/>
        <v>0.11453909077957117</v>
      </c>
      <c r="AM70" s="338">
        <f t="shared" si="29"/>
        <v>9.5752263478177779E-2</v>
      </c>
      <c r="AN70" s="338">
        <v>7.6965436176784405E-2</v>
      </c>
      <c r="AO70" s="338">
        <f t="shared" si="30"/>
        <v>5.8036713472570015E-2</v>
      </c>
      <c r="AP70" s="338">
        <v>3.9107990768355624E-2</v>
      </c>
    </row>
    <row r="71" spans="1:42" ht="48">
      <c r="A71" s="91" t="s">
        <v>421</v>
      </c>
      <c r="B71" s="92">
        <v>1.752582340345217</v>
      </c>
      <c r="C71" s="92">
        <v>1.8392175105238073</v>
      </c>
      <c r="D71" s="92">
        <v>1.9197658332770289</v>
      </c>
      <c r="E71" s="92">
        <v>2.0019979967107879</v>
      </c>
      <c r="F71" s="92">
        <v>2.0834728946364884</v>
      </c>
      <c r="G71" s="92">
        <v>2.170178850003369</v>
      </c>
      <c r="H71" s="92">
        <v>2.2509013997016005</v>
      </c>
      <c r="I71" s="92">
        <v>2.3333158767185926</v>
      </c>
      <c r="J71" s="92">
        <v>2.417861144196094</v>
      </c>
      <c r="K71" s="92">
        <v>2.4280493105501457</v>
      </c>
      <c r="L71" s="92">
        <v>2.439425632093998</v>
      </c>
      <c r="M71" s="92">
        <v>2.4520111462496312</v>
      </c>
      <c r="N71" s="92">
        <v>2.4179860618160727</v>
      </c>
      <c r="O71" s="92">
        <v>2.3849797428439055</v>
      </c>
      <c r="P71" s="92">
        <v>2.3479286891979365</v>
      </c>
      <c r="Q71" s="92">
        <v>2.3639630408517034</v>
      </c>
      <c r="R71" s="92">
        <v>2.3742312839295749</v>
      </c>
      <c r="S71" s="92">
        <v>2.3852659254715114</v>
      </c>
      <c r="T71" s="92">
        <v>2.4026466332504244</v>
      </c>
      <c r="U71" s="92">
        <v>2.433157087771129</v>
      </c>
      <c r="V71" s="92">
        <v>2.4496689993676184</v>
      </c>
      <c r="W71" s="92">
        <v>2.4577153704403112</v>
      </c>
      <c r="X71" s="92">
        <v>2.468199416563909</v>
      </c>
      <c r="Y71" s="92">
        <v>2.4786092000983135</v>
      </c>
      <c r="Z71" s="92">
        <v>2.499127929969061</v>
      </c>
      <c r="AA71" s="92">
        <v>2.4903056345682053</v>
      </c>
      <c r="AB71" s="92">
        <v>2.4892065938836505</v>
      </c>
      <c r="AC71" s="92">
        <v>2.4871578264491201</v>
      </c>
      <c r="AD71" s="92">
        <v>2.5226914892346208</v>
      </c>
      <c r="AE71" s="92">
        <v>2.5590751671150698</v>
      </c>
      <c r="AF71" s="92">
        <v>2.5722868847268363</v>
      </c>
      <c r="AG71" s="92">
        <v>2.6214464756517892</v>
      </c>
      <c r="AH71" s="92">
        <v>2.6214464756517892</v>
      </c>
      <c r="AI71" s="338">
        <v>2.6634358128028439</v>
      </c>
      <c r="AJ71" s="338">
        <f t="shared" si="27"/>
        <v>2.6936524891655313</v>
      </c>
      <c r="AK71" s="338">
        <v>2.7238691655282183</v>
      </c>
      <c r="AL71" s="338">
        <f t="shared" si="28"/>
        <v>2.7273329807990607</v>
      </c>
      <c r="AM71" s="338">
        <f t="shared" si="29"/>
        <v>2.7307967960699027</v>
      </c>
      <c r="AN71" s="338">
        <v>2.7342606113407451</v>
      </c>
      <c r="AO71" s="338">
        <f t="shared" si="30"/>
        <v>2.7320029487520259</v>
      </c>
      <c r="AP71" s="338">
        <v>2.7297452861633063</v>
      </c>
    </row>
    <row r="72" spans="1:42" ht="48">
      <c r="A72" s="91" t="s">
        <v>422</v>
      </c>
      <c r="B72" s="92">
        <v>0</v>
      </c>
      <c r="C72" s="92">
        <v>0</v>
      </c>
      <c r="D72" s="92">
        <v>0</v>
      </c>
      <c r="E72" s="92">
        <v>0</v>
      </c>
      <c r="F72" s="92">
        <v>0</v>
      </c>
      <c r="G72" s="92">
        <v>0</v>
      </c>
      <c r="H72" s="92">
        <v>0</v>
      </c>
      <c r="I72" s="92">
        <v>0</v>
      </c>
      <c r="J72" s="92">
        <v>0</v>
      </c>
      <c r="K72" s="92">
        <v>0</v>
      </c>
      <c r="L72" s="92">
        <v>0</v>
      </c>
      <c r="M72" s="92">
        <v>0</v>
      </c>
      <c r="N72" s="92">
        <v>0</v>
      </c>
      <c r="O72" s="92">
        <v>0</v>
      </c>
      <c r="P72" s="92">
        <v>0</v>
      </c>
      <c r="Q72" s="92">
        <v>0</v>
      </c>
      <c r="R72" s="92">
        <v>0</v>
      </c>
      <c r="S72" s="92">
        <v>0</v>
      </c>
      <c r="T72" s="92">
        <v>0</v>
      </c>
      <c r="U72" s="92">
        <v>0</v>
      </c>
      <c r="V72" s="92">
        <v>0</v>
      </c>
      <c r="W72" s="92">
        <v>0</v>
      </c>
      <c r="X72" s="92">
        <v>0</v>
      </c>
      <c r="Y72" s="92">
        <v>0</v>
      </c>
      <c r="Z72" s="92">
        <v>0</v>
      </c>
      <c r="AA72" s="92">
        <v>0</v>
      </c>
      <c r="AB72" s="92">
        <v>0</v>
      </c>
      <c r="AC72" s="92">
        <v>0</v>
      </c>
      <c r="AD72" s="92">
        <v>0</v>
      </c>
      <c r="AE72" s="92">
        <v>0</v>
      </c>
      <c r="AF72" s="92">
        <v>0</v>
      </c>
      <c r="AG72" s="92">
        <v>0</v>
      </c>
      <c r="AH72" s="92">
        <v>0</v>
      </c>
      <c r="AI72" s="338">
        <v>0</v>
      </c>
      <c r="AJ72" s="338">
        <f t="shared" si="27"/>
        <v>0</v>
      </c>
      <c r="AK72" s="338">
        <v>0</v>
      </c>
      <c r="AL72" s="338">
        <f t="shared" si="28"/>
        <v>0</v>
      </c>
      <c r="AM72" s="338">
        <f t="shared" si="29"/>
        <v>0</v>
      </c>
      <c r="AN72" s="338">
        <v>0</v>
      </c>
      <c r="AO72" s="338">
        <f t="shared" si="30"/>
        <v>0</v>
      </c>
      <c r="AP72" s="338">
        <v>0</v>
      </c>
    </row>
    <row r="73" spans="1:42" ht="72">
      <c r="A73" s="110" t="s">
        <v>423</v>
      </c>
      <c r="B73" s="111">
        <v>61.854681087011798</v>
      </c>
      <c r="C73" s="111">
        <v>69.593628978673564</v>
      </c>
      <c r="D73" s="111">
        <v>68.487582852221664</v>
      </c>
      <c r="E73" s="111">
        <v>66.623831841343986</v>
      </c>
      <c r="F73" s="111">
        <v>62.766753244250751</v>
      </c>
      <c r="G73" s="111">
        <v>62.655981394466913</v>
      </c>
      <c r="H73" s="111">
        <v>69.421647906534332</v>
      </c>
      <c r="I73" s="111">
        <v>65.483293511774164</v>
      </c>
      <c r="J73" s="111">
        <v>67.953782269911457</v>
      </c>
      <c r="K73" s="111">
        <v>68.807556400652103</v>
      </c>
      <c r="L73" s="111">
        <v>66.806085614415153</v>
      </c>
      <c r="M73" s="111">
        <v>70.779861969171264</v>
      </c>
      <c r="N73" s="111">
        <v>67.986441136494548</v>
      </c>
      <c r="O73" s="111">
        <v>69.491853605563037</v>
      </c>
      <c r="P73" s="111">
        <v>73.390289246907543</v>
      </c>
      <c r="Q73" s="111">
        <v>72.561500640403082</v>
      </c>
      <c r="R73" s="111">
        <v>69.772842553412389</v>
      </c>
      <c r="S73" s="111">
        <v>62.197972284263884</v>
      </c>
      <c r="T73" s="111">
        <v>67.342411575242053</v>
      </c>
      <c r="U73" s="111">
        <v>67.014255135663902</v>
      </c>
      <c r="V73" s="111">
        <v>65.203070543055546</v>
      </c>
      <c r="W73" s="111">
        <v>57.173556302168627</v>
      </c>
      <c r="X73" s="111">
        <v>61.670930126915849</v>
      </c>
      <c r="Y73" s="111">
        <v>62.909502983613862</v>
      </c>
      <c r="Z73" s="111">
        <v>50.249409176376524</v>
      </c>
      <c r="AA73" s="111">
        <v>52.416228078272127</v>
      </c>
      <c r="AB73" s="111">
        <v>53.744492185090017</v>
      </c>
      <c r="AC73" s="111">
        <v>52.615820546731534</v>
      </c>
      <c r="AD73" s="111">
        <v>48.914519766228494</v>
      </c>
      <c r="AE73" s="111">
        <v>47.23145086473037</v>
      </c>
      <c r="AF73" s="111">
        <v>44.896859853009218</v>
      </c>
      <c r="AG73" s="111">
        <v>47.322337354654081</v>
      </c>
      <c r="AH73" s="111">
        <v>40.139239143468039</v>
      </c>
      <c r="AI73" s="147">
        <v>41.24194426009619</v>
      </c>
      <c r="AJ73" s="155">
        <f>SUM(AJ66:AJ72)</f>
        <v>38.305577225092101</v>
      </c>
      <c r="AK73" s="155">
        <f t="shared" ref="AK73:AP73" si="31">SUM(AK66:AK72)</f>
        <v>35.369210190088012</v>
      </c>
      <c r="AL73" s="155">
        <f t="shared" si="31"/>
        <v>32.802337394563615</v>
      </c>
      <c r="AM73" s="155">
        <f t="shared" si="31"/>
        <v>30.235464599039215</v>
      </c>
      <c r="AN73" s="155">
        <f t="shared" si="31"/>
        <v>27.668591803514815</v>
      </c>
      <c r="AO73" s="155">
        <f t="shared" si="31"/>
        <v>25.220690942177793</v>
      </c>
      <c r="AP73" s="155">
        <f t="shared" si="31"/>
        <v>22.772790080840771</v>
      </c>
    </row>
    <row r="74" spans="1:42" ht="48">
      <c r="A74" s="91" t="s">
        <v>219</v>
      </c>
      <c r="B74" s="92">
        <v>26.725314667265163</v>
      </c>
      <c r="C74" s="92">
        <v>29.018472297232528</v>
      </c>
      <c r="D74" s="92">
        <v>27.629943512541747</v>
      </c>
      <c r="E74" s="92">
        <v>26.339241856399248</v>
      </c>
      <c r="F74" s="92">
        <v>24.859396434901996</v>
      </c>
      <c r="G74" s="92">
        <v>25.101317560777492</v>
      </c>
      <c r="H74" s="92">
        <v>27.528341951670079</v>
      </c>
      <c r="I74" s="92">
        <v>25.854247856508827</v>
      </c>
      <c r="J74" s="92">
        <v>27.24880453645293</v>
      </c>
      <c r="K74" s="92">
        <v>27.839827687923119</v>
      </c>
      <c r="L74" s="92">
        <v>25.818569686064937</v>
      </c>
      <c r="M74" s="92">
        <v>26.89035552731848</v>
      </c>
      <c r="N74" s="92">
        <v>24.202598584145775</v>
      </c>
      <c r="O74" s="92">
        <v>27.464900347803962</v>
      </c>
      <c r="P74" s="92">
        <v>27.782077225189585</v>
      </c>
      <c r="Q74" s="92">
        <v>27.212998099261078</v>
      </c>
      <c r="R74" s="92">
        <v>24.721085880694556</v>
      </c>
      <c r="S74" s="92">
        <v>24.468858680711328</v>
      </c>
      <c r="T74" s="92">
        <v>25.911024209388703</v>
      </c>
      <c r="U74" s="92">
        <v>28.210385294340583</v>
      </c>
      <c r="V74" s="92">
        <v>28.512493013373142</v>
      </c>
      <c r="W74" s="92">
        <v>21.205051296089739</v>
      </c>
      <c r="X74" s="92">
        <v>23.394936438231888</v>
      </c>
      <c r="Y74" s="92">
        <v>24.651883569492966</v>
      </c>
      <c r="Z74" s="92">
        <v>21.375253654929864</v>
      </c>
      <c r="AA74" s="92">
        <v>22.491024050362249</v>
      </c>
      <c r="AB74" s="92">
        <v>22.081334660732853</v>
      </c>
      <c r="AC74" s="92">
        <v>22.885975976228082</v>
      </c>
      <c r="AD74" s="92">
        <v>22.173965193814919</v>
      </c>
      <c r="AE74" s="92">
        <v>21.687564188399239</v>
      </c>
      <c r="AF74" s="92">
        <v>20.149276356325505</v>
      </c>
      <c r="AG74" s="92">
        <v>21.509215261065023</v>
      </c>
      <c r="AH74" s="92">
        <v>18.097430893405882</v>
      </c>
      <c r="AI74" s="338">
        <v>20.13667855107013</v>
      </c>
      <c r="AJ74" s="338">
        <f>AI74+(AK74-AI74)/2</f>
        <v>18.759195822453641</v>
      </c>
      <c r="AK74" s="338">
        <v>17.381713093837153</v>
      </c>
      <c r="AL74" s="338">
        <f t="shared" si="28"/>
        <v>15.947402757141903</v>
      </c>
      <c r="AM74" s="338">
        <f t="shared" si="29"/>
        <v>14.513092420446656</v>
      </c>
      <c r="AN74" s="338">
        <v>13.078782083751406</v>
      </c>
      <c r="AO74" s="338">
        <f>AN74+(AP74-AN74)/2</f>
        <v>11.694048419065984</v>
      </c>
      <c r="AP74" s="338">
        <v>10.309314754380562</v>
      </c>
    </row>
    <row r="75" spans="1:42" ht="24">
      <c r="A75" s="91" t="s">
        <v>220</v>
      </c>
      <c r="B75" s="92">
        <v>0</v>
      </c>
      <c r="C75" s="92">
        <v>0</v>
      </c>
      <c r="D75" s="92">
        <v>2.0043158804594548E-4</v>
      </c>
      <c r="E75" s="92">
        <v>1.0588746111101493E-3</v>
      </c>
      <c r="F75" s="92">
        <v>2.9824422332424411E-3</v>
      </c>
      <c r="G75" s="92">
        <v>5.275196086016125E-3</v>
      </c>
      <c r="H75" s="92">
        <v>8.8466387998479053E-3</v>
      </c>
      <c r="I75" s="92">
        <v>1.3507938943690682E-2</v>
      </c>
      <c r="J75" s="92">
        <v>2.2627502766909412E-2</v>
      </c>
      <c r="K75" s="92">
        <v>3.5938569670567598E-2</v>
      </c>
      <c r="L75" s="92">
        <v>6.0076379848664374E-2</v>
      </c>
      <c r="M75" s="92">
        <v>9.5614985506108127E-2</v>
      </c>
      <c r="N75" s="92">
        <v>0.14510912019329378</v>
      </c>
      <c r="O75" s="92">
        <v>0.20540606490994726</v>
      </c>
      <c r="P75" s="92">
        <v>0.30033175021679814</v>
      </c>
      <c r="Q75" s="92">
        <v>0.38788325813853719</v>
      </c>
      <c r="R75" s="92">
        <v>0.510297716772249</v>
      </c>
      <c r="S75" s="92">
        <v>0.65160728219667108</v>
      </c>
      <c r="T75" s="92">
        <v>0.76383372945496741</v>
      </c>
      <c r="U75" s="92">
        <v>0.87041608421704064</v>
      </c>
      <c r="V75" s="92">
        <v>0.95296809270277238</v>
      </c>
      <c r="W75" s="92">
        <v>1.0122958890325022</v>
      </c>
      <c r="X75" s="92">
        <v>1.068349596125854</v>
      </c>
      <c r="Y75" s="92">
        <v>1.1221189749253671</v>
      </c>
      <c r="Z75" s="92">
        <v>1.1852349601119196</v>
      </c>
      <c r="AA75" s="92">
        <v>1.2464177409051238</v>
      </c>
      <c r="AB75" s="92">
        <v>1.3266986181847924</v>
      </c>
      <c r="AC75" s="92">
        <v>1.3890461038847166</v>
      </c>
      <c r="AD75" s="92">
        <v>1.4117217340166284</v>
      </c>
      <c r="AE75" s="92">
        <v>1.3991679823718899</v>
      </c>
      <c r="AF75" s="92">
        <v>1.3544790325422291</v>
      </c>
      <c r="AG75" s="92">
        <v>1.2966121684734417</v>
      </c>
      <c r="AH75" s="92">
        <v>0.82482753844459167</v>
      </c>
      <c r="AI75" s="338">
        <v>0.61340921597547671</v>
      </c>
      <c r="AJ75" s="338">
        <f t="shared" ref="AJ75:AJ78" si="32">AI75+(AK75-AI75)/2</f>
        <v>0.57640619933234905</v>
      </c>
      <c r="AK75" s="338">
        <v>0.53940318268922149</v>
      </c>
      <c r="AL75" s="338">
        <f t="shared" ref="AL75:AL78" si="33">AK75+(AN75-AK75)/3</f>
        <v>0.51802947199822091</v>
      </c>
      <c r="AM75" s="338">
        <f t="shared" ref="AM75:AM78" si="34">AK75+(AN75-AK75)*2/3</f>
        <v>0.49665576130722033</v>
      </c>
      <c r="AN75" s="338">
        <v>0.47528205061621975</v>
      </c>
      <c r="AO75" s="338">
        <f t="shared" ref="AO75:AO78" si="35">AN75+(AP75-AN75)/2</f>
        <v>0.46228811781116363</v>
      </c>
      <c r="AP75" s="338">
        <v>0.44929418500610757</v>
      </c>
    </row>
    <row r="76" spans="1:42" ht="24">
      <c r="A76" s="91" t="s">
        <v>222</v>
      </c>
      <c r="B76" s="92">
        <v>0</v>
      </c>
      <c r="C76" s="92">
        <v>0</v>
      </c>
      <c r="D76" s="92">
        <v>0</v>
      </c>
      <c r="E76" s="92">
        <v>1.5908679768535952E-2</v>
      </c>
      <c r="F76" s="92">
        <v>4.6390679894420431E-2</v>
      </c>
      <c r="G76" s="92">
        <v>0.12489619054851177</v>
      </c>
      <c r="H76" s="92">
        <v>0.22618061099453449</v>
      </c>
      <c r="I76" s="92">
        <v>0.39409122317879292</v>
      </c>
      <c r="J76" s="92">
        <v>0.62476256429257759</v>
      </c>
      <c r="K76" s="92">
        <v>1.0267348843302453</v>
      </c>
      <c r="L76" s="92">
        <v>1.5122236718798343</v>
      </c>
      <c r="M76" s="92">
        <v>2.0787665660624142</v>
      </c>
      <c r="N76" s="92">
        <v>2.6313141914213052</v>
      </c>
      <c r="O76" s="92">
        <v>3.1767731564732435</v>
      </c>
      <c r="P76" s="92">
        <v>3.720004163823901</v>
      </c>
      <c r="Q76" s="92">
        <v>4.2139690520727431</v>
      </c>
      <c r="R76" s="92">
        <v>4.8023324942050296</v>
      </c>
      <c r="S76" s="92">
        <v>5.2520035988073639</v>
      </c>
      <c r="T76" s="92">
        <v>5.6635182216465401</v>
      </c>
      <c r="U76" s="92">
        <v>5.9924207170479944</v>
      </c>
      <c r="V76" s="92">
        <v>6.2317340016021943</v>
      </c>
      <c r="W76" s="92">
        <v>6.4168105371518784</v>
      </c>
      <c r="X76" s="92">
        <v>6.4590335790821491</v>
      </c>
      <c r="Y76" s="92">
        <v>6.3698467931700904</v>
      </c>
      <c r="Z76" s="92">
        <v>6.171771918329557</v>
      </c>
      <c r="AA76" s="92">
        <v>5.9050194838044883</v>
      </c>
      <c r="AB76" s="92">
        <v>5.540819117155471</v>
      </c>
      <c r="AC76" s="92">
        <v>5.1046224151481887</v>
      </c>
      <c r="AD76" s="92">
        <v>4.5876823371310484</v>
      </c>
      <c r="AE76" s="92">
        <v>3.81641941878555</v>
      </c>
      <c r="AF76" s="92">
        <v>3.1281256913781572</v>
      </c>
      <c r="AG76" s="92">
        <v>2.511601091549414</v>
      </c>
      <c r="AH76" s="92">
        <v>2.1636730145460836</v>
      </c>
      <c r="AI76" s="338">
        <v>2.1284235880496603</v>
      </c>
      <c r="AJ76" s="338">
        <f t="shared" si="32"/>
        <v>1.8719674838080507</v>
      </c>
      <c r="AK76" s="338">
        <v>1.6155113795664409</v>
      </c>
      <c r="AL76" s="338">
        <f t="shared" si="33"/>
        <v>1.4432813652306118</v>
      </c>
      <c r="AM76" s="338">
        <f t="shared" si="34"/>
        <v>1.2710513508947825</v>
      </c>
      <c r="AN76" s="338">
        <v>1.0988213365589534</v>
      </c>
      <c r="AO76" s="338">
        <f t="shared" si="35"/>
        <v>1.0049026487513431</v>
      </c>
      <c r="AP76" s="338">
        <v>0.91098396094373257</v>
      </c>
    </row>
    <row r="77" spans="1:42" ht="84">
      <c r="A77" s="91" t="s">
        <v>221</v>
      </c>
      <c r="B77" s="92">
        <v>0.16763790401226208</v>
      </c>
      <c r="C77" s="92">
        <v>0.16412478411681861</v>
      </c>
      <c r="D77" s="92">
        <v>0.16252071081375521</v>
      </c>
      <c r="E77" s="92">
        <v>0.16005794146806512</v>
      </c>
      <c r="F77" s="92">
        <v>0.28342947423162135</v>
      </c>
      <c r="G77" s="92">
        <v>0.44859520124355989</v>
      </c>
      <c r="H77" s="92">
        <v>0.71871661404714515</v>
      </c>
      <c r="I77" s="92">
        <v>0.8550419084925176</v>
      </c>
      <c r="J77" s="92">
        <v>0.8540101737458109</v>
      </c>
      <c r="K77" s="92">
        <v>0.86783217504307419</v>
      </c>
      <c r="L77" s="92">
        <v>0.84346578434433206</v>
      </c>
      <c r="M77" s="92">
        <v>0.82406937047348805</v>
      </c>
      <c r="N77" s="92">
        <v>0.81400443945088585</v>
      </c>
      <c r="O77" s="92">
        <v>0.8455926377727121</v>
      </c>
      <c r="P77" s="92">
        <v>0.78859490680400846</v>
      </c>
      <c r="Q77" s="92">
        <v>0.79403100954315442</v>
      </c>
      <c r="R77" s="92">
        <v>0.79859503790313358</v>
      </c>
      <c r="S77" s="92">
        <v>0.79934979314716426</v>
      </c>
      <c r="T77" s="92">
        <v>0.80716890705171374</v>
      </c>
      <c r="U77" s="92">
        <v>0.78080917409618356</v>
      </c>
      <c r="V77" s="92">
        <v>0.806270672390203</v>
      </c>
      <c r="W77" s="92">
        <v>0.83945819092092278</v>
      </c>
      <c r="X77" s="92">
        <v>0.76522415721673331</v>
      </c>
      <c r="Y77" s="92">
        <v>0.72662364826255332</v>
      </c>
      <c r="Z77" s="92">
        <v>0.72803303048009704</v>
      </c>
      <c r="AA77" s="92">
        <v>0.73084644345247463</v>
      </c>
      <c r="AB77" s="92">
        <v>0.72249230659774266</v>
      </c>
      <c r="AC77" s="92">
        <v>0.72905135949468958</v>
      </c>
      <c r="AD77" s="92">
        <v>0.52651255501453131</v>
      </c>
      <c r="AE77" s="92">
        <v>0.28035732932360607</v>
      </c>
      <c r="AF77" s="92">
        <v>0.29913959371453125</v>
      </c>
      <c r="AG77" s="92">
        <v>0.30086915201833853</v>
      </c>
      <c r="AH77" s="92">
        <v>0.28140919590331404</v>
      </c>
      <c r="AI77" s="338">
        <v>0.23536672261320596</v>
      </c>
      <c r="AJ77" s="338">
        <f t="shared" si="32"/>
        <v>0.23338347481467644</v>
      </c>
      <c r="AK77" s="338">
        <v>0.23140022701614693</v>
      </c>
      <c r="AL77" s="338">
        <f t="shared" si="33"/>
        <v>0.23028589874389299</v>
      </c>
      <c r="AM77" s="338">
        <f t="shared" si="34"/>
        <v>0.22917157047163905</v>
      </c>
      <c r="AN77" s="338">
        <v>0.22805724219938511</v>
      </c>
      <c r="AO77" s="338">
        <f t="shared" si="35"/>
        <v>0.22544506602695535</v>
      </c>
      <c r="AP77" s="338">
        <v>0.22283288985452557</v>
      </c>
    </row>
    <row r="78" spans="1:42" ht="72">
      <c r="A78" s="91" t="s">
        <v>424</v>
      </c>
      <c r="B78" s="92">
        <v>4.5130555634744987</v>
      </c>
      <c r="C78" s="92">
        <v>4.1559721748421712</v>
      </c>
      <c r="D78" s="92">
        <v>2.839983130814657</v>
      </c>
      <c r="E78" s="92">
        <v>2.3737505750000429</v>
      </c>
      <c r="F78" s="92">
        <v>1.1001254358994474</v>
      </c>
      <c r="G78" s="92">
        <v>0.61281624763950193</v>
      </c>
      <c r="H78" s="92">
        <v>1.0033434418910572</v>
      </c>
      <c r="I78" s="92">
        <v>1.4483958323328927</v>
      </c>
      <c r="J78" s="92">
        <v>2.0810097340128038</v>
      </c>
      <c r="K78" s="92">
        <v>2.0296217996613364</v>
      </c>
      <c r="L78" s="92">
        <v>1.984502201492824</v>
      </c>
      <c r="M78" s="92">
        <v>2.1240974369053016</v>
      </c>
      <c r="N78" s="92">
        <v>2.695541138647279</v>
      </c>
      <c r="O78" s="92">
        <v>2.9060766573514853</v>
      </c>
      <c r="P78" s="92">
        <v>2.9057205303864886</v>
      </c>
      <c r="Q78" s="92">
        <v>2.6544389817867744</v>
      </c>
      <c r="R78" s="92">
        <v>2.676619146809688</v>
      </c>
      <c r="S78" s="92">
        <v>2.5462314413179286</v>
      </c>
      <c r="T78" s="92">
        <v>2.5617028823493571</v>
      </c>
      <c r="U78" s="92">
        <v>2.2818542762845757</v>
      </c>
      <c r="V78" s="92">
        <v>2.2819855241986837</v>
      </c>
      <c r="W78" s="92">
        <v>2.675818576656527</v>
      </c>
      <c r="X78" s="92">
        <v>2.3061195881710663</v>
      </c>
      <c r="Y78" s="92">
        <v>2.2543902109973781</v>
      </c>
      <c r="Z78" s="92">
        <v>2.1389522482811927</v>
      </c>
      <c r="AA78" s="92">
        <v>2.0565016674066467</v>
      </c>
      <c r="AB78" s="92">
        <v>1.3618435318849351</v>
      </c>
      <c r="AC78" s="92">
        <v>1.3383031286083069</v>
      </c>
      <c r="AD78" s="92">
        <v>1.4327605939468071</v>
      </c>
      <c r="AE78" s="92">
        <v>1.6232830341957327</v>
      </c>
      <c r="AF78" s="92">
        <v>1.4895843519131624</v>
      </c>
      <c r="AG78" s="92">
        <v>2.1495059139361961</v>
      </c>
      <c r="AH78" s="92">
        <v>2.5183554198219893</v>
      </c>
      <c r="AI78" s="338">
        <v>0.68491335705667222</v>
      </c>
      <c r="AJ78" s="338">
        <f t="shared" si="32"/>
        <v>0.59725129727790072</v>
      </c>
      <c r="AK78" s="338">
        <v>0.5095892374991291</v>
      </c>
      <c r="AL78" s="338">
        <f t="shared" si="33"/>
        <v>0.42694298650732926</v>
      </c>
      <c r="AM78" s="338">
        <f t="shared" si="34"/>
        <v>0.34429673551552942</v>
      </c>
      <c r="AN78" s="338">
        <v>0.26165048452372958</v>
      </c>
      <c r="AO78" s="338">
        <f t="shared" si="35"/>
        <v>0.18130572127463085</v>
      </c>
      <c r="AP78" s="338">
        <v>0.10096095802553211</v>
      </c>
    </row>
    <row r="79" spans="1:42">
      <c r="A79" s="112" t="s">
        <v>425</v>
      </c>
      <c r="B79" s="113">
        <v>93.260689221763727</v>
      </c>
      <c r="C79" s="113">
        <v>102.93219823486508</v>
      </c>
      <c r="D79" s="113">
        <v>99.120230637979859</v>
      </c>
      <c r="E79" s="113">
        <v>95.513849768590987</v>
      </c>
      <c r="F79" s="113">
        <v>89.059077711411476</v>
      </c>
      <c r="G79" s="113">
        <v>88.948881790761988</v>
      </c>
      <c r="H79" s="113">
        <v>98.907077163937004</v>
      </c>
      <c r="I79" s="113">
        <v>94.04857827123088</v>
      </c>
      <c r="J79" s="113">
        <v>98.784996781182485</v>
      </c>
      <c r="K79" s="113">
        <v>100.60751151728044</v>
      </c>
      <c r="L79" s="113">
        <v>97.024923338045738</v>
      </c>
      <c r="M79" s="113">
        <v>102.79276585543705</v>
      </c>
      <c r="N79" s="113">
        <v>98.475008610353086</v>
      </c>
      <c r="O79" s="113">
        <v>104.09060246987438</v>
      </c>
      <c r="P79" s="113">
        <v>108.88701782332834</v>
      </c>
      <c r="Q79" s="113">
        <v>107.82482104120537</v>
      </c>
      <c r="R79" s="113">
        <v>103.28177282979703</v>
      </c>
      <c r="S79" s="113">
        <v>95.916023080444347</v>
      </c>
      <c r="T79" s="113">
        <v>103.04965952513334</v>
      </c>
      <c r="U79" s="113">
        <v>105.15014068165027</v>
      </c>
      <c r="V79" s="113">
        <v>103.98852184732254</v>
      </c>
      <c r="W79" s="113">
        <v>89.322990792020192</v>
      </c>
      <c r="X79" s="113">
        <v>95.664593485743538</v>
      </c>
      <c r="Y79" s="113">
        <v>98.034366180462214</v>
      </c>
      <c r="Z79" s="113">
        <v>81.848654988509153</v>
      </c>
      <c r="AA79" s="113">
        <v>84.846037464203107</v>
      </c>
      <c r="AB79" s="113">
        <v>84.777680419645819</v>
      </c>
      <c r="AC79" s="113">
        <v>84.06281953009551</v>
      </c>
      <c r="AD79" s="113">
        <v>79.047162180152426</v>
      </c>
      <c r="AE79" s="113">
        <v>76.038242817806392</v>
      </c>
      <c r="AF79" s="113">
        <v>71.317464878882802</v>
      </c>
      <c r="AG79" s="113">
        <v>75.09014094169649</v>
      </c>
      <c r="AH79" s="113">
        <v>64.024935205589898</v>
      </c>
      <c r="AI79" s="344">
        <v>65.04073569486134</v>
      </c>
      <c r="AJ79" s="147">
        <f t="shared" ref="AJ79:AP79" si="36">AJ73+AJ74+SUM(AJ75:AJ78)</f>
        <v>60.343781502778718</v>
      </c>
      <c r="AK79" s="147">
        <f t="shared" si="36"/>
        <v>55.646827310696096</v>
      </c>
      <c r="AL79" s="147">
        <f t="shared" si="36"/>
        <v>51.368279874185575</v>
      </c>
      <c r="AM79" s="147">
        <f t="shared" si="36"/>
        <v>47.089732437675046</v>
      </c>
      <c r="AN79" s="147">
        <f t="shared" si="36"/>
        <v>42.81118500116451</v>
      </c>
      <c r="AO79" s="147">
        <f t="shared" si="36"/>
        <v>38.788680915107868</v>
      </c>
      <c r="AP79" s="147">
        <f t="shared" si="36"/>
        <v>34.766176829051226</v>
      </c>
    </row>
    <row r="80" spans="1:42" ht="15">
      <c r="A80" s="421"/>
      <c r="B80" s="421"/>
      <c r="C80" s="421"/>
      <c r="D80" s="421"/>
      <c r="E80" s="421"/>
      <c r="F80" s="421"/>
      <c r="G80" s="421"/>
      <c r="H80" s="421"/>
      <c r="I80" s="421"/>
      <c r="J80" s="421"/>
      <c r="K80" s="421"/>
      <c r="L80" s="421"/>
      <c r="M80" s="421"/>
      <c r="N80" s="421"/>
      <c r="O80" s="421"/>
      <c r="P80" s="421"/>
      <c r="Q80" s="421"/>
      <c r="R80" s="421"/>
      <c r="S80" s="421"/>
      <c r="T80" s="421"/>
      <c r="U80" s="421"/>
      <c r="V80" s="421"/>
      <c r="W80" s="421"/>
      <c r="X80" s="421"/>
      <c r="Y80" s="421"/>
      <c r="Z80" s="421"/>
      <c r="AA80" s="421"/>
      <c r="AB80" s="421"/>
      <c r="AC80" s="70"/>
      <c r="AD80" s="70"/>
      <c r="AE80" s="70"/>
      <c r="AF80" s="70"/>
      <c r="AG80" s="70"/>
      <c r="AH80" s="70"/>
    </row>
    <row r="81" spans="1:42">
      <c r="A81" s="114" t="s">
        <v>400</v>
      </c>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430" t="s">
        <v>393</v>
      </c>
      <c r="AJ81" s="430"/>
      <c r="AK81" s="430"/>
      <c r="AL81" s="430"/>
      <c r="AM81" s="430"/>
      <c r="AN81" s="430"/>
      <c r="AO81" s="430"/>
      <c r="AP81" s="430"/>
    </row>
    <row r="82" spans="1:42" ht="105.6">
      <c r="A82" s="75" t="s">
        <v>394</v>
      </c>
      <c r="B82" s="76">
        <v>1990</v>
      </c>
      <c r="C82" s="76">
        <v>1991</v>
      </c>
      <c r="D82" s="76">
        <v>1992</v>
      </c>
      <c r="E82" s="76">
        <v>1993</v>
      </c>
      <c r="F82" s="76">
        <v>1994</v>
      </c>
      <c r="G82" s="76">
        <v>1995</v>
      </c>
      <c r="H82" s="76">
        <v>1996</v>
      </c>
      <c r="I82" s="76">
        <v>1997</v>
      </c>
      <c r="J82" s="76">
        <v>1998</v>
      </c>
      <c r="K82" s="76">
        <v>1999</v>
      </c>
      <c r="L82" s="76">
        <v>2000</v>
      </c>
      <c r="M82" s="76">
        <v>2001</v>
      </c>
      <c r="N82" s="76">
        <v>2002</v>
      </c>
      <c r="O82" s="76">
        <v>2003</v>
      </c>
      <c r="P82" s="76">
        <v>2004</v>
      </c>
      <c r="Q82" s="76">
        <v>2005</v>
      </c>
      <c r="R82" s="76">
        <v>2006</v>
      </c>
      <c r="S82" s="76">
        <v>2007</v>
      </c>
      <c r="T82" s="76">
        <v>2008</v>
      </c>
      <c r="U82" s="76">
        <v>2009</v>
      </c>
      <c r="V82" s="76">
        <v>2010</v>
      </c>
      <c r="W82" s="76">
        <v>2011</v>
      </c>
      <c r="X82" s="76">
        <v>2012</v>
      </c>
      <c r="Y82" s="76">
        <v>2013</v>
      </c>
      <c r="Z82" s="76">
        <v>2014</v>
      </c>
      <c r="AA82" s="76">
        <v>2015</v>
      </c>
      <c r="AB82" s="76">
        <v>2016</v>
      </c>
      <c r="AC82" s="76">
        <v>2017</v>
      </c>
      <c r="AD82" s="76">
        <v>2018</v>
      </c>
      <c r="AE82" s="76">
        <v>2019</v>
      </c>
      <c r="AF82" s="76">
        <v>2020</v>
      </c>
      <c r="AG82" s="77">
        <v>2021</v>
      </c>
      <c r="AH82" s="77" t="s">
        <v>395</v>
      </c>
      <c r="AI82" s="76">
        <v>2023</v>
      </c>
      <c r="AJ82" s="152">
        <v>2024</v>
      </c>
      <c r="AK82" s="76">
        <v>2025</v>
      </c>
      <c r="AL82" s="152">
        <v>2026</v>
      </c>
      <c r="AM82" s="152">
        <v>2027</v>
      </c>
      <c r="AN82" s="76">
        <v>2028</v>
      </c>
      <c r="AO82" s="152">
        <v>2029</v>
      </c>
      <c r="AP82" s="76">
        <v>2030</v>
      </c>
    </row>
    <row r="83" spans="1:42">
      <c r="A83" s="100" t="s">
        <v>295</v>
      </c>
      <c r="B83" s="92">
        <v>44.281953967313108</v>
      </c>
      <c r="C83" s="92">
        <v>43.544415449935443</v>
      </c>
      <c r="D83" s="92">
        <v>42.878281368831146</v>
      </c>
      <c r="E83" s="92">
        <v>42.489624704628007</v>
      </c>
      <c r="F83" s="92">
        <v>42.650681454177445</v>
      </c>
      <c r="G83" s="92">
        <v>42.900213854341978</v>
      </c>
      <c r="H83" s="92">
        <v>42.863893432711635</v>
      </c>
      <c r="I83" s="92">
        <v>42.39620126176019</v>
      </c>
      <c r="J83" s="92">
        <v>42.167021685922407</v>
      </c>
      <c r="K83" s="92">
        <v>42.22223895815192</v>
      </c>
      <c r="L83" s="92">
        <v>44.0515629220424</v>
      </c>
      <c r="M83" s="92">
        <v>44.140064396545569</v>
      </c>
      <c r="N83" s="92">
        <v>43.065236563144659</v>
      </c>
      <c r="O83" s="92">
        <v>41.695430813242368</v>
      </c>
      <c r="P83" s="92">
        <v>41.139422435876682</v>
      </c>
      <c r="Q83" s="92">
        <v>41.028590350690486</v>
      </c>
      <c r="R83" s="92">
        <v>41.210638756432139</v>
      </c>
      <c r="S83" s="92">
        <v>41.659103482064424</v>
      </c>
      <c r="T83" s="92">
        <v>42.40348100884853</v>
      </c>
      <c r="U83" s="92">
        <v>41.899788052527249</v>
      </c>
      <c r="V83" s="92">
        <v>41.656263331251338</v>
      </c>
      <c r="W83" s="92">
        <v>41.106419532266678</v>
      </c>
      <c r="X83" s="92">
        <v>40.727971839282453</v>
      </c>
      <c r="Y83" s="92">
        <v>40.860701127521644</v>
      </c>
      <c r="Z83" s="92">
        <v>41.463698103848628</v>
      </c>
      <c r="AA83" s="92">
        <v>41.658329642688649</v>
      </c>
      <c r="AB83" s="92">
        <v>41.410835700609177</v>
      </c>
      <c r="AC83" s="92">
        <v>40.918420143964603</v>
      </c>
      <c r="AD83" s="92">
        <v>40.16514233117762</v>
      </c>
      <c r="AE83" s="92">
        <v>39.413637171783421</v>
      </c>
      <c r="AF83" s="92">
        <v>38.713795033646612</v>
      </c>
      <c r="AG83" s="92">
        <v>37.705529360499405</v>
      </c>
      <c r="AH83" s="92">
        <v>37.639151299321767</v>
      </c>
      <c r="AI83" s="338">
        <v>36.878739052548731</v>
      </c>
      <c r="AJ83" s="338">
        <f>AI83+(AK83-AI83)/2</f>
        <v>36.287736374709709</v>
      </c>
      <c r="AK83" s="338">
        <v>35.696733696870695</v>
      </c>
      <c r="AL83" s="338">
        <f>AK83+(AN83-AK83)/3</f>
        <v>35.118933618628198</v>
      </c>
      <c r="AM83" s="338">
        <f>AK83+(AN83-AK83)*2/3</f>
        <v>34.541133540385694</v>
      </c>
      <c r="AN83" s="338">
        <v>33.963333462143197</v>
      </c>
      <c r="AO83" s="338">
        <f>AN83+(AP83-AN83)/2</f>
        <v>33.423918353117742</v>
      </c>
      <c r="AP83" s="338">
        <v>32.884503244092286</v>
      </c>
    </row>
    <row r="84" spans="1:42">
      <c r="A84" s="100" t="s">
        <v>296</v>
      </c>
      <c r="B84" s="92">
        <v>2.450376909810382</v>
      </c>
      <c r="C84" s="92">
        <v>2.4587175470708118</v>
      </c>
      <c r="D84" s="92">
        <v>2.5900902450092476</v>
      </c>
      <c r="E84" s="92">
        <v>2.6836678032703287</v>
      </c>
      <c r="F84" s="92">
        <v>2.7633167204826439</v>
      </c>
      <c r="G84" s="92">
        <v>2.7794714456278657</v>
      </c>
      <c r="H84" s="92">
        <v>2.8879201500270359</v>
      </c>
      <c r="I84" s="92">
        <v>2.9742047607128899</v>
      </c>
      <c r="J84" s="92">
        <v>3.0888880262956389</v>
      </c>
      <c r="K84" s="92">
        <v>3.1559672862660415</v>
      </c>
      <c r="L84" s="92">
        <v>3.1732396390751454</v>
      </c>
      <c r="M84" s="92">
        <v>3.231340666130686</v>
      </c>
      <c r="N84" s="92">
        <v>3.280963188409606</v>
      </c>
      <c r="O84" s="92">
        <v>3.2694807075856298</v>
      </c>
      <c r="P84" s="92">
        <v>3.2413856784540216</v>
      </c>
      <c r="Q84" s="92">
        <v>3.1998738428520959</v>
      </c>
      <c r="R84" s="92">
        <v>3.1911260169592861</v>
      </c>
      <c r="S84" s="92">
        <v>3.2099590742176352</v>
      </c>
      <c r="T84" s="92">
        <v>3.202001351449653</v>
      </c>
      <c r="U84" s="92">
        <v>3.1431957823924255</v>
      </c>
      <c r="V84" s="92">
        <v>3.0778703500368514</v>
      </c>
      <c r="W84" s="92">
        <v>3.0420624662263127</v>
      </c>
      <c r="X84" s="92">
        <v>2.9693840759786476</v>
      </c>
      <c r="Y84" s="92">
        <v>2.9228915008842202</v>
      </c>
      <c r="Z84" s="92">
        <v>2.9045191585350154</v>
      </c>
      <c r="AA84" s="92">
        <v>2.9166703531878571</v>
      </c>
      <c r="AB84" s="92">
        <v>2.9477926048319372</v>
      </c>
      <c r="AC84" s="92">
        <v>2.9081328686808998</v>
      </c>
      <c r="AD84" s="92">
        <v>2.9209121290693232</v>
      </c>
      <c r="AE84" s="92">
        <v>2.8976521245027347</v>
      </c>
      <c r="AF84" s="92">
        <v>2.8587765120163318</v>
      </c>
      <c r="AG84" s="92">
        <v>2.8008134075166957</v>
      </c>
      <c r="AH84" s="92">
        <v>2.8008134075166962</v>
      </c>
      <c r="AI84" s="338">
        <v>2.6829250849601305</v>
      </c>
      <c r="AJ84" s="338">
        <f t="shared" ref="AJ84:AJ86" si="37">AI84+(AK84-AI84)/2</f>
        <v>2.5955145460863189</v>
      </c>
      <c r="AK84" s="338">
        <v>2.5081040072125078</v>
      </c>
      <c r="AL84" s="338">
        <f t="shared" ref="AL84:AL86" si="38">AK84+(AN84-AK84)/3</f>
        <v>2.4262674186966255</v>
      </c>
      <c r="AM84" s="338">
        <f t="shared" ref="AM84:AM86" si="39">AK84+(AN84-AK84)*2/3</f>
        <v>2.3444308301807433</v>
      </c>
      <c r="AN84" s="338">
        <v>2.262594241664861</v>
      </c>
      <c r="AO84" s="338">
        <f t="shared" ref="AO84:AO86" si="40">AN84+(AP84-AN84)/2</f>
        <v>2.1914156365003503</v>
      </c>
      <c r="AP84" s="338">
        <v>2.1202370313358392</v>
      </c>
    </row>
    <row r="85" spans="1:42">
      <c r="A85" s="100" t="s">
        <v>297</v>
      </c>
      <c r="B85" s="92">
        <v>0.22420401357785918</v>
      </c>
      <c r="C85" s="92">
        <v>0.23119164039567669</v>
      </c>
      <c r="D85" s="92">
        <v>0.23732428079985807</v>
      </c>
      <c r="E85" s="92">
        <v>0.24392723141194847</v>
      </c>
      <c r="F85" s="92">
        <v>0.24968541000866068</v>
      </c>
      <c r="G85" s="92">
        <v>0.25520945366522368</v>
      </c>
      <c r="H85" s="92">
        <v>0.25955341657499498</v>
      </c>
      <c r="I85" s="92">
        <v>0.26572048489237088</v>
      </c>
      <c r="J85" s="92">
        <v>0.2734977130262562</v>
      </c>
      <c r="K85" s="92">
        <v>0.26555819442230572</v>
      </c>
      <c r="L85" s="92">
        <v>0.25816899223581569</v>
      </c>
      <c r="M85" s="92">
        <v>0.26288712508441942</v>
      </c>
      <c r="N85" s="92">
        <v>0.25996037150435136</v>
      </c>
      <c r="O85" s="92">
        <v>0.25147560987085776</v>
      </c>
      <c r="P85" s="92">
        <v>0.24060355335941283</v>
      </c>
      <c r="Q85" s="92">
        <v>0.23374252666289302</v>
      </c>
      <c r="R85" s="92">
        <v>0.23066159469327824</v>
      </c>
      <c r="S85" s="92">
        <v>0.23218905496414427</v>
      </c>
      <c r="T85" s="92">
        <v>0.23244294811423763</v>
      </c>
      <c r="U85" s="92">
        <v>0.23254975838669767</v>
      </c>
      <c r="V85" s="92">
        <v>0.235330551494043</v>
      </c>
      <c r="W85" s="92">
        <v>0.23419468140110281</v>
      </c>
      <c r="X85" s="92">
        <v>0.23899637663686399</v>
      </c>
      <c r="Y85" s="92">
        <v>0.24141864327056708</v>
      </c>
      <c r="Z85" s="92">
        <v>0.24627309703057396</v>
      </c>
      <c r="AA85" s="92">
        <v>0.24961583285960384</v>
      </c>
      <c r="AB85" s="92">
        <v>0.24545884791379438</v>
      </c>
      <c r="AC85" s="92">
        <v>0.24594160814722241</v>
      </c>
      <c r="AD85" s="92">
        <v>0.24060702605878775</v>
      </c>
      <c r="AE85" s="92">
        <v>0.23591051083297596</v>
      </c>
      <c r="AF85" s="92">
        <v>0.23480781667089362</v>
      </c>
      <c r="AG85" s="92">
        <v>0.2325200959357957</v>
      </c>
      <c r="AH85" s="92">
        <v>0.23252009593579573</v>
      </c>
      <c r="AI85" s="338">
        <v>0.20759325929870509</v>
      </c>
      <c r="AJ85" s="338">
        <f t="shared" si="37"/>
        <v>0.2037327187918983</v>
      </c>
      <c r="AK85" s="338">
        <v>0.19987217828509155</v>
      </c>
      <c r="AL85" s="338">
        <f t="shared" si="38"/>
        <v>0.19601081400832371</v>
      </c>
      <c r="AM85" s="338">
        <f t="shared" si="39"/>
        <v>0.1921494497315559</v>
      </c>
      <c r="AN85" s="338">
        <v>0.18828808545478806</v>
      </c>
      <c r="AO85" s="338">
        <f t="shared" si="40"/>
        <v>0.1850778583740198</v>
      </c>
      <c r="AP85" s="338">
        <v>0.18186763129325151</v>
      </c>
    </row>
    <row r="86" spans="1:42" ht="36">
      <c r="A86" s="100" t="s">
        <v>298</v>
      </c>
      <c r="B86" s="92">
        <v>6.4274634458433884</v>
      </c>
      <c r="C86" s="92">
        <v>6.3003371866728335</v>
      </c>
      <c r="D86" s="92">
        <v>6.1680994549693589</v>
      </c>
      <c r="E86" s="92">
        <v>6.1188614449959609</v>
      </c>
      <c r="F86" s="92">
        <v>6.1257899602942096</v>
      </c>
      <c r="G86" s="92">
        <v>6.1456049583179562</v>
      </c>
      <c r="H86" s="92">
        <v>6.1406067004924338</v>
      </c>
      <c r="I86" s="92">
        <v>6.0871594556006352</v>
      </c>
      <c r="J86" s="92">
        <v>6.0445053782816176</v>
      </c>
      <c r="K86" s="92">
        <v>5.9976295882051565</v>
      </c>
      <c r="L86" s="92">
        <v>6.0168512814474617</v>
      </c>
      <c r="M86" s="92">
        <v>5.9456553893489623</v>
      </c>
      <c r="N86" s="92">
        <v>5.912192079589464</v>
      </c>
      <c r="O86" s="92">
        <v>5.8566503699651946</v>
      </c>
      <c r="P86" s="92">
        <v>5.7936937363073255</v>
      </c>
      <c r="Q86" s="92">
        <v>5.7751458698535023</v>
      </c>
      <c r="R86" s="92">
        <v>5.6802981028669723</v>
      </c>
      <c r="S86" s="92">
        <v>5.5702867613214675</v>
      </c>
      <c r="T86" s="92">
        <v>5.4580662003528504</v>
      </c>
      <c r="U86" s="92">
        <v>5.4478603446792668</v>
      </c>
      <c r="V86" s="92">
        <v>5.4685178103239371</v>
      </c>
      <c r="W86" s="92">
        <v>5.3236380379400163</v>
      </c>
      <c r="X86" s="92">
        <v>5.1874622848262106</v>
      </c>
      <c r="Y86" s="92">
        <v>5.0822312225494217</v>
      </c>
      <c r="Z86" s="92">
        <v>5.054613972930877</v>
      </c>
      <c r="AA86" s="92">
        <v>4.9788466743030471</v>
      </c>
      <c r="AB86" s="92">
        <v>4.9226196320707034</v>
      </c>
      <c r="AC86" s="92">
        <v>4.8725075088819052</v>
      </c>
      <c r="AD86" s="92">
        <v>4.9180693874427339</v>
      </c>
      <c r="AE86" s="92">
        <v>4.873006001079661</v>
      </c>
      <c r="AF86" s="92">
        <v>4.8798742394806158</v>
      </c>
      <c r="AG86" s="92">
        <v>4.8324007091564791</v>
      </c>
      <c r="AH86" s="92">
        <v>4.8417993025410322</v>
      </c>
      <c r="AI86" s="338">
        <v>4.6803849688973189</v>
      </c>
      <c r="AJ86" s="338">
        <f t="shared" si="37"/>
        <v>4.6310334537067037</v>
      </c>
      <c r="AK86" s="338">
        <v>4.5816819385160885</v>
      </c>
      <c r="AL86" s="338">
        <f t="shared" si="38"/>
        <v>4.5370931346023742</v>
      </c>
      <c r="AM86" s="338">
        <f t="shared" si="39"/>
        <v>4.4925043306886607</v>
      </c>
      <c r="AN86" s="338">
        <v>4.4479155267749464</v>
      </c>
      <c r="AO86" s="338">
        <f t="shared" si="40"/>
        <v>4.4078409521626734</v>
      </c>
      <c r="AP86" s="338">
        <v>4.3677663775504003</v>
      </c>
    </row>
    <row r="87" spans="1:42">
      <c r="A87" s="116" t="s">
        <v>426</v>
      </c>
      <c r="B87" s="117">
        <v>53.383998336544735</v>
      </c>
      <c r="C87" s="117">
        <v>52.534661824074767</v>
      </c>
      <c r="D87" s="117">
        <v>51.873795349609615</v>
      </c>
      <c r="E87" s="117">
        <v>51.536081184306241</v>
      </c>
      <c r="F87" s="117">
        <v>51.789473544962959</v>
      </c>
      <c r="G87" s="117">
        <v>52.080499711953017</v>
      </c>
      <c r="H87" s="117">
        <v>52.151973699806099</v>
      </c>
      <c r="I87" s="117">
        <v>51.723285962966081</v>
      </c>
      <c r="J87" s="117">
        <v>51.573912803525928</v>
      </c>
      <c r="K87" s="117">
        <v>51.641394027045422</v>
      </c>
      <c r="L87" s="117">
        <v>53.499822834800824</v>
      </c>
      <c r="M87" s="117">
        <v>53.579947577109635</v>
      </c>
      <c r="N87" s="117">
        <v>52.518352202648082</v>
      </c>
      <c r="O87" s="117">
        <v>51.07303750066405</v>
      </c>
      <c r="P87" s="117">
        <v>50.415105403997444</v>
      </c>
      <c r="Q87" s="117">
        <v>50.237352590058975</v>
      </c>
      <c r="R87" s="117">
        <v>50.312724470951679</v>
      </c>
      <c r="S87" s="117">
        <v>50.671538372567674</v>
      </c>
      <c r="T87" s="117">
        <v>51.295991508765276</v>
      </c>
      <c r="U87" s="117">
        <v>50.723393937985634</v>
      </c>
      <c r="V87" s="117">
        <v>50.437982043106175</v>
      </c>
      <c r="W87" s="117">
        <v>49.706314717834104</v>
      </c>
      <c r="X87" s="117">
        <v>49.123814576724172</v>
      </c>
      <c r="Y87" s="117">
        <v>49.107242494225858</v>
      </c>
      <c r="Z87" s="117">
        <v>49.6691043323451</v>
      </c>
      <c r="AA87" s="117">
        <v>49.803462503039157</v>
      </c>
      <c r="AB87" s="117">
        <v>49.526706785425617</v>
      </c>
      <c r="AC87" s="117">
        <v>48.945002129674627</v>
      </c>
      <c r="AD87" s="117">
        <v>48.244730873748466</v>
      </c>
      <c r="AE87" s="117">
        <v>47.420205808198787</v>
      </c>
      <c r="AF87" s="117">
        <v>46.687253601814454</v>
      </c>
      <c r="AG87" s="117">
        <v>45.571263573108375</v>
      </c>
      <c r="AH87" s="117">
        <v>45.514284105315298</v>
      </c>
      <c r="AI87" s="345">
        <f t="shared" ref="AI87" si="41">SUM(AI83:AI86)</f>
        <v>44.449642365704889</v>
      </c>
      <c r="AJ87" s="345">
        <f>SUM(AJ83:AJ86)</f>
        <v>43.718017093294634</v>
      </c>
      <c r="AK87" s="345">
        <f t="shared" ref="AK87:AP87" si="42">SUM(AK83:AK86)</f>
        <v>42.986391820884386</v>
      </c>
      <c r="AL87" s="345">
        <f t="shared" si="42"/>
        <v>42.27830498593552</v>
      </c>
      <c r="AM87" s="345">
        <f t="shared" si="42"/>
        <v>41.570218150986655</v>
      </c>
      <c r="AN87" s="345">
        <f t="shared" si="42"/>
        <v>40.862131316037797</v>
      </c>
      <c r="AO87" s="345">
        <f t="shared" si="42"/>
        <v>40.208252800154789</v>
      </c>
      <c r="AP87" s="345">
        <f t="shared" si="42"/>
        <v>39.55437428427178</v>
      </c>
    </row>
    <row r="88" spans="1:42" ht="36">
      <c r="A88" s="100" t="s">
        <v>300</v>
      </c>
      <c r="B88" s="92">
        <v>13.471655594133829</v>
      </c>
      <c r="C88" s="92">
        <v>13.216609099628375</v>
      </c>
      <c r="D88" s="92">
        <v>12.88155904266775</v>
      </c>
      <c r="E88" s="92">
        <v>12.26249449543733</v>
      </c>
      <c r="F88" s="92">
        <v>11.490701045993653</v>
      </c>
      <c r="G88" s="92">
        <v>11.959725908593008</v>
      </c>
      <c r="H88" s="92">
        <v>12.346081014917791</v>
      </c>
      <c r="I88" s="92">
        <v>12.706579120964939</v>
      </c>
      <c r="J88" s="92">
        <v>12.633363726945971</v>
      </c>
      <c r="K88" s="92">
        <v>12.75261580454173</v>
      </c>
      <c r="L88" s="92">
        <v>12.905942284578176</v>
      </c>
      <c r="M88" s="92">
        <v>12.824999469973601</v>
      </c>
      <c r="N88" s="92">
        <v>12.464379907713401</v>
      </c>
      <c r="O88" s="92">
        <v>12.109966013343911</v>
      </c>
      <c r="P88" s="92">
        <v>12.161842983355211</v>
      </c>
      <c r="Q88" s="92">
        <v>12.391601278766405</v>
      </c>
      <c r="R88" s="92">
        <v>11.812707856420298</v>
      </c>
      <c r="S88" s="92">
        <v>11.432010436234968</v>
      </c>
      <c r="T88" s="92">
        <v>12.064545677261973</v>
      </c>
      <c r="U88" s="92">
        <v>11.964018922570553</v>
      </c>
      <c r="V88" s="92">
        <v>11.050289078093764</v>
      </c>
      <c r="W88" s="92">
        <v>11.733912323638927</v>
      </c>
      <c r="X88" s="92">
        <v>11.638526825891166</v>
      </c>
      <c r="Y88" s="92">
        <v>11.113331314634065</v>
      </c>
      <c r="Z88" s="92">
        <v>11.549326973826904</v>
      </c>
      <c r="AA88" s="92">
        <v>11.692119599066238</v>
      </c>
      <c r="AB88" s="92">
        <v>11.74977645184822</v>
      </c>
      <c r="AC88" s="92">
        <v>11.852264370058844</v>
      </c>
      <c r="AD88" s="92">
        <v>12.03447836016756</v>
      </c>
      <c r="AE88" s="92">
        <v>11.350450647495348</v>
      </c>
      <c r="AF88" s="92">
        <v>10.95268322691847</v>
      </c>
      <c r="AG88" s="92">
        <v>10.572343705126166</v>
      </c>
      <c r="AH88" s="92">
        <v>10.572343705126164</v>
      </c>
      <c r="AI88" s="338">
        <v>10.13675737666073</v>
      </c>
      <c r="AJ88" s="338">
        <f>AI88+(AK88-AI88)/2</f>
        <v>9.8660716722056225</v>
      </c>
      <c r="AK88" s="338">
        <v>9.5953859677505147</v>
      </c>
      <c r="AL88" s="338">
        <f>AK88+(AN88-AK88)/3</f>
        <v>9.3259898422595437</v>
      </c>
      <c r="AM88" s="338">
        <f>AK88+(AN88-AK88)*2/3</f>
        <v>9.0565937167685728</v>
      </c>
      <c r="AN88" s="338">
        <v>8.7871975912776019</v>
      </c>
      <c r="AO88" s="338">
        <f>AN88+(AP88-AN88)/2</f>
        <v>8.5190910447507697</v>
      </c>
      <c r="AP88" s="338">
        <v>8.2509844982239393</v>
      </c>
    </row>
    <row r="89" spans="1:42" ht="36">
      <c r="A89" s="100" t="s">
        <v>427</v>
      </c>
      <c r="B89" s="92">
        <v>1.4996873578746885</v>
      </c>
      <c r="C89" s="92">
        <v>1.4863875865732041</v>
      </c>
      <c r="D89" s="92">
        <v>1.4765079622348256</v>
      </c>
      <c r="E89" s="92">
        <v>1.4774076758333634</v>
      </c>
      <c r="F89" s="92">
        <v>1.4899011554222803</v>
      </c>
      <c r="G89" s="92">
        <v>1.5030431076509583</v>
      </c>
      <c r="H89" s="92">
        <v>1.5132920976162625</v>
      </c>
      <c r="I89" s="92">
        <v>1.5094687435909808</v>
      </c>
      <c r="J89" s="92">
        <v>1.5142324790428612</v>
      </c>
      <c r="K89" s="92">
        <v>1.508244741461408</v>
      </c>
      <c r="L89" s="92">
        <v>1.536841891874563</v>
      </c>
      <c r="M89" s="92">
        <v>1.5211171874571001</v>
      </c>
      <c r="N89" s="92">
        <v>1.5017384283759891</v>
      </c>
      <c r="O89" s="92">
        <v>1.4698792609963149</v>
      </c>
      <c r="P89" s="92">
        <v>1.4446284816293866</v>
      </c>
      <c r="Q89" s="92">
        <v>1.4324213194026945</v>
      </c>
      <c r="R89" s="92">
        <v>1.4293332057700006</v>
      </c>
      <c r="S89" s="92">
        <v>1.4418630588804675</v>
      </c>
      <c r="T89" s="92">
        <v>1.4772783242801673</v>
      </c>
      <c r="U89" s="92">
        <v>1.452628131231966</v>
      </c>
      <c r="V89" s="92">
        <v>1.4554565089867049</v>
      </c>
      <c r="W89" s="92">
        <v>1.4643413615080687</v>
      </c>
      <c r="X89" s="92">
        <v>1.4594567402029255</v>
      </c>
      <c r="Y89" s="92">
        <v>1.4547894486144524</v>
      </c>
      <c r="Z89" s="92">
        <v>1.4762251643347488</v>
      </c>
      <c r="AA89" s="92">
        <v>1.49197669532829</v>
      </c>
      <c r="AB89" s="92">
        <v>1.4779642522965344</v>
      </c>
      <c r="AC89" s="92">
        <v>1.47781133821254</v>
      </c>
      <c r="AD89" s="92">
        <v>1.4806348965013281</v>
      </c>
      <c r="AE89" s="92">
        <v>1.4589883499061045</v>
      </c>
      <c r="AF89" s="92">
        <v>1.4481668405376591</v>
      </c>
      <c r="AG89" s="92">
        <v>1.4474935082989628</v>
      </c>
      <c r="AH89" s="92">
        <v>1.4474935082989628</v>
      </c>
      <c r="AI89" s="338">
        <v>1.6819034318955119</v>
      </c>
      <c r="AJ89" s="338">
        <f>AI89+(AK89-AI89)/2</f>
        <v>1.7574879204461613</v>
      </c>
      <c r="AK89" s="338">
        <v>1.8330724089968107</v>
      </c>
      <c r="AL89" s="338">
        <f>AK89+(AN89-AK89)/3</f>
        <v>1.9078390905875737</v>
      </c>
      <c r="AM89" s="338">
        <f>AK89+(AN89-AK89)*2/3</f>
        <v>1.982605772178337</v>
      </c>
      <c r="AN89" s="338">
        <v>2.0573724537691001</v>
      </c>
      <c r="AO89" s="338">
        <f>AN89+(AP89-AN89)/2</f>
        <v>2.1296599044582547</v>
      </c>
      <c r="AP89" s="338">
        <v>2.2019473551474094</v>
      </c>
    </row>
    <row r="90" spans="1:42">
      <c r="A90" s="100" t="s">
        <v>428</v>
      </c>
      <c r="B90" s="92">
        <v>1.8026809400330164</v>
      </c>
      <c r="C90" s="92">
        <v>1.7851146845450125</v>
      </c>
      <c r="D90" s="92">
        <v>1.7794987878370618</v>
      </c>
      <c r="E90" s="92">
        <v>1.7695117502674902</v>
      </c>
      <c r="F90" s="92">
        <v>1.7752307683300699</v>
      </c>
      <c r="G90" s="92">
        <v>1.7869846561507388</v>
      </c>
      <c r="H90" s="92">
        <v>1.7938339490377384</v>
      </c>
      <c r="I90" s="92">
        <v>1.7792137270882986</v>
      </c>
      <c r="J90" s="92">
        <v>1.769588226400526</v>
      </c>
      <c r="K90" s="92">
        <v>1.7724306093907045</v>
      </c>
      <c r="L90" s="92">
        <v>1.8311483950418574</v>
      </c>
      <c r="M90" s="92">
        <v>1.8430732670540533</v>
      </c>
      <c r="N90" s="92">
        <v>1.7916055911151323</v>
      </c>
      <c r="O90" s="92">
        <v>1.7377088043858426</v>
      </c>
      <c r="P90" s="92">
        <v>1.7060846521016926</v>
      </c>
      <c r="Q90" s="92">
        <v>1.6907184932996009</v>
      </c>
      <c r="R90" s="92">
        <v>1.6950086661654884</v>
      </c>
      <c r="S90" s="92">
        <v>1.7052382991472492</v>
      </c>
      <c r="T90" s="92">
        <v>1.7009345901869142</v>
      </c>
      <c r="U90" s="92">
        <v>1.6954496017176712</v>
      </c>
      <c r="V90" s="92">
        <v>1.6880375984104981</v>
      </c>
      <c r="W90" s="92">
        <v>1.6302284907611027</v>
      </c>
      <c r="X90" s="92">
        <v>1.6201134203275016</v>
      </c>
      <c r="Y90" s="92">
        <v>1.636382346648507</v>
      </c>
      <c r="Z90" s="92">
        <v>1.6578816391536195</v>
      </c>
      <c r="AA90" s="92">
        <v>1.6712964362723977</v>
      </c>
      <c r="AB90" s="92">
        <v>1.6686834210106407</v>
      </c>
      <c r="AC90" s="92">
        <v>1.6510125425777464</v>
      </c>
      <c r="AD90" s="92">
        <v>1.6184313142199238</v>
      </c>
      <c r="AE90" s="92">
        <v>1.5891548079792897</v>
      </c>
      <c r="AF90" s="92">
        <v>1.5581215421417247</v>
      </c>
      <c r="AG90" s="92">
        <v>1.5217959122804259</v>
      </c>
      <c r="AH90" s="92">
        <v>1.5217959122804259</v>
      </c>
      <c r="AI90" s="338">
        <v>1.5266187138173488</v>
      </c>
      <c r="AJ90" s="338">
        <f t="shared" ref="AJ90:AJ92" si="43">AI90+(AK90-AI90)/2</f>
        <v>1.5156563463826063</v>
      </c>
      <c r="AK90" s="338">
        <v>1.5046939789478637</v>
      </c>
      <c r="AL90" s="338">
        <f t="shared" ref="AL90:AL92" si="44">AK90+(AN90-AK90)/3</f>
        <v>1.4932712369317103</v>
      </c>
      <c r="AM90" s="338">
        <f t="shared" ref="AM90:AM92" si="45">AK90+(AN90-AK90)*2/3</f>
        <v>1.4818484949155566</v>
      </c>
      <c r="AN90" s="338">
        <v>1.4704257528994031</v>
      </c>
      <c r="AO90" s="338">
        <f t="shared" ref="AO90:AO92" si="46">AN90+(AP90-AN90)/2</f>
        <v>1.4585435586054323</v>
      </c>
      <c r="AP90" s="338">
        <v>1.4466613643114614</v>
      </c>
    </row>
    <row r="91" spans="1:42" ht="36">
      <c r="A91" s="100" t="s">
        <v>429</v>
      </c>
      <c r="B91" s="92">
        <v>9.654920947568385E-2</v>
      </c>
      <c r="C91" s="92">
        <v>9.9091870340358962E-2</v>
      </c>
      <c r="D91" s="92">
        <v>9.9632668211062647E-2</v>
      </c>
      <c r="E91" s="92">
        <v>9.5748539144466904E-2</v>
      </c>
      <c r="F91" s="92">
        <v>9.7581060562172181E-2</v>
      </c>
      <c r="G91" s="92">
        <v>9.5457401534545294E-2</v>
      </c>
      <c r="H91" s="92">
        <v>0.10133769778435485</v>
      </c>
      <c r="I91" s="92">
        <v>0.1008930881330086</v>
      </c>
      <c r="J91" s="92">
        <v>0.10547218101178706</v>
      </c>
      <c r="K91" s="92">
        <v>0.10343594143596703</v>
      </c>
      <c r="L91" s="92">
        <v>0.10379204360680024</v>
      </c>
      <c r="M91" s="92">
        <v>8.944352351252792E-2</v>
      </c>
      <c r="N91" s="92">
        <v>9.0054574088201014E-2</v>
      </c>
      <c r="O91" s="92">
        <v>7.3994560015300637E-2</v>
      </c>
      <c r="P91" s="92">
        <v>7.6333866413692109E-2</v>
      </c>
      <c r="Q91" s="92">
        <v>6.6358043242009765E-2</v>
      </c>
      <c r="R91" s="92">
        <v>6.4776680949214113E-2</v>
      </c>
      <c r="S91" s="92">
        <v>6.1162323591453148E-2</v>
      </c>
      <c r="T91" s="92">
        <v>6.4276446684156469E-2</v>
      </c>
      <c r="U91" s="92">
        <v>6.38807730844968E-2</v>
      </c>
      <c r="V91" s="92">
        <v>5.9556731979268071E-2</v>
      </c>
      <c r="W91" s="92">
        <v>5.6480126396030728E-2</v>
      </c>
      <c r="X91" s="92">
        <v>5.4527248515935531E-2</v>
      </c>
      <c r="Y91" s="92">
        <v>4.7365787887720799E-2</v>
      </c>
      <c r="Z91" s="92">
        <v>4.5765223259911322E-2</v>
      </c>
      <c r="AA91" s="92">
        <v>4.3935218345077291E-2</v>
      </c>
      <c r="AB91" s="92">
        <v>3.5953036666777363E-2</v>
      </c>
      <c r="AC91" s="92">
        <v>3.9833968334204731E-2</v>
      </c>
      <c r="AD91" s="92">
        <v>3.6007674959598356E-2</v>
      </c>
      <c r="AE91" s="92">
        <v>3.8425866508327175E-2</v>
      </c>
      <c r="AF91" s="92">
        <v>3.3610659779717472E-2</v>
      </c>
      <c r="AG91" s="92">
        <v>3.5033820045365226E-2</v>
      </c>
      <c r="AH91" s="92">
        <v>3.5033820045365226E-2</v>
      </c>
      <c r="AI91" s="338">
        <v>3.3078024789714132E-2</v>
      </c>
      <c r="AJ91" s="338">
        <f t="shared" si="43"/>
        <v>3.2900479793046347E-2</v>
      </c>
      <c r="AK91" s="338">
        <v>3.2722934796378562E-2</v>
      </c>
      <c r="AL91" s="338">
        <f t="shared" si="44"/>
        <v>3.2545389799710785E-2</v>
      </c>
      <c r="AM91" s="338">
        <f t="shared" si="45"/>
        <v>3.2367844803043E-2</v>
      </c>
      <c r="AN91" s="338">
        <v>3.2190299806375222E-2</v>
      </c>
      <c r="AO91" s="338">
        <f t="shared" si="46"/>
        <v>3.2012754809707444E-2</v>
      </c>
      <c r="AP91" s="338">
        <v>3.1835209813039667E-2</v>
      </c>
    </row>
    <row r="92" spans="1:42" ht="36">
      <c r="A92" s="100" t="s">
        <v>430</v>
      </c>
      <c r="B92" s="92">
        <v>7.4589338622973234</v>
      </c>
      <c r="C92" s="92">
        <v>7.6902818863854661</v>
      </c>
      <c r="D92" s="92">
        <v>8.0745423358518256</v>
      </c>
      <c r="E92" s="92">
        <v>7.7923076147627333</v>
      </c>
      <c r="F92" s="92">
        <v>7.5790763216225265</v>
      </c>
      <c r="G92" s="92">
        <v>7.376644407135343</v>
      </c>
      <c r="H92" s="92">
        <v>7.4799813519067362</v>
      </c>
      <c r="I92" s="92">
        <v>7.6919033203820035</v>
      </c>
      <c r="J92" s="92">
        <v>7.8972914195004416</v>
      </c>
      <c r="K92" s="92">
        <v>8.0814493842034292</v>
      </c>
      <c r="L92" s="92">
        <v>8.2221616497227021</v>
      </c>
      <c r="M92" s="92">
        <v>7.9059861910610971</v>
      </c>
      <c r="N92" s="92">
        <v>8.0127655433815228</v>
      </c>
      <c r="O92" s="92">
        <v>6.8765363124486791</v>
      </c>
      <c r="P92" s="92">
        <v>8.056556507070324</v>
      </c>
      <c r="Q92" s="92">
        <v>7.5914956645242233</v>
      </c>
      <c r="R92" s="92">
        <v>7.5855020208197761</v>
      </c>
      <c r="S92" s="92">
        <v>8.0648901754052869</v>
      </c>
      <c r="T92" s="92">
        <v>8.190285819872491</v>
      </c>
      <c r="U92" s="92">
        <v>7.8291498592751454</v>
      </c>
      <c r="V92" s="92">
        <v>7.3456652303566754</v>
      </c>
      <c r="W92" s="92">
        <v>7.2812387066822266</v>
      </c>
      <c r="X92" s="92">
        <v>7.7932080871437162</v>
      </c>
      <c r="Y92" s="92">
        <v>7.5844971610871541</v>
      </c>
      <c r="Z92" s="92">
        <v>8.1027495148780631</v>
      </c>
      <c r="AA92" s="92">
        <v>7.5191804250926975</v>
      </c>
      <c r="AB92" s="92">
        <v>7.0709931398730612</v>
      </c>
      <c r="AC92" s="92">
        <v>7.5955941013041706</v>
      </c>
      <c r="AD92" s="92">
        <v>7.180885129606887</v>
      </c>
      <c r="AE92" s="92">
        <v>7.0574723918855859</v>
      </c>
      <c r="AF92" s="92">
        <v>6.7576301091725632</v>
      </c>
      <c r="AG92" s="92">
        <v>7.1189057544342322</v>
      </c>
      <c r="AH92" s="92">
        <v>7.1189057544342322</v>
      </c>
      <c r="AI92" s="338">
        <v>6.5040094066735685</v>
      </c>
      <c r="AJ92" s="338">
        <f t="shared" si="43"/>
        <v>6.4038748413880988</v>
      </c>
      <c r="AK92" s="338">
        <v>6.3037402761026282</v>
      </c>
      <c r="AL92" s="338">
        <f t="shared" si="44"/>
        <v>6.2042666794336432</v>
      </c>
      <c r="AM92" s="338">
        <f t="shared" si="45"/>
        <v>6.1047930827646573</v>
      </c>
      <c r="AN92" s="338">
        <v>6.0053194860956722</v>
      </c>
      <c r="AO92" s="338">
        <f t="shared" si="46"/>
        <v>5.9050302753480359</v>
      </c>
      <c r="AP92" s="338">
        <v>5.8047410646003996</v>
      </c>
    </row>
    <row r="93" spans="1:42">
      <c r="A93" s="116" t="s">
        <v>431</v>
      </c>
      <c r="B93" s="117">
        <v>24.329506963814538</v>
      </c>
      <c r="C93" s="117">
        <v>24.277485127472417</v>
      </c>
      <c r="D93" s="117">
        <v>24.311740796802525</v>
      </c>
      <c r="E93" s="117">
        <v>23.397470075445383</v>
      </c>
      <c r="F93" s="117">
        <v>22.432490351930703</v>
      </c>
      <c r="G93" s="117">
        <v>22.721855481064594</v>
      </c>
      <c r="H93" s="117">
        <v>23.234526111262884</v>
      </c>
      <c r="I93" s="117">
        <v>23.788058000159232</v>
      </c>
      <c r="J93" s="117">
        <v>23.919948032901587</v>
      </c>
      <c r="K93" s="117">
        <v>24.21817648103324</v>
      </c>
      <c r="L93" s="117">
        <v>24.599886264824093</v>
      </c>
      <c r="M93" s="117">
        <v>24.184619639058379</v>
      </c>
      <c r="N93" s="117">
        <v>23.860544044674246</v>
      </c>
      <c r="O93" s="117">
        <v>22.268084951190048</v>
      </c>
      <c r="P93" s="117">
        <v>23.445446490570305</v>
      </c>
      <c r="Q93" s="117">
        <v>23.172594799234933</v>
      </c>
      <c r="R93" s="117">
        <v>22.587328430124778</v>
      </c>
      <c r="S93" s="117">
        <v>22.705164293259426</v>
      </c>
      <c r="T93" s="117">
        <v>23.497320858285704</v>
      </c>
      <c r="U93" s="117">
        <v>23.005127287879834</v>
      </c>
      <c r="V93" s="117">
        <v>21.599005147826912</v>
      </c>
      <c r="W93" s="117">
        <v>22.166201008986356</v>
      </c>
      <c r="X93" s="117">
        <v>22.565832322081242</v>
      </c>
      <c r="Y93" s="117">
        <v>21.836366058871899</v>
      </c>
      <c r="Z93" s="117">
        <v>22.831948515453249</v>
      </c>
      <c r="AA93" s="117">
        <v>22.4185083741047</v>
      </c>
      <c r="AB93" s="117">
        <v>22.003370301695234</v>
      </c>
      <c r="AC93" s="117">
        <v>22.616516320487506</v>
      </c>
      <c r="AD93" s="117">
        <v>22.3504373754553</v>
      </c>
      <c r="AE93" s="117">
        <v>21.494492063774654</v>
      </c>
      <c r="AF93" s="117">
        <v>20.750212378550138</v>
      </c>
      <c r="AG93" s="117">
        <v>20.695572700185153</v>
      </c>
      <c r="AH93" s="117">
        <v>20.695572700185153</v>
      </c>
      <c r="AI93" s="345">
        <f t="shared" ref="AI93" si="47">SUM(AI88:AI92)</f>
        <v>19.882366953836875</v>
      </c>
      <c r="AJ93" s="345">
        <f>SUM(AJ88:AJ92)</f>
        <v>19.575991260215535</v>
      </c>
      <c r="AK93" s="345">
        <f t="shared" ref="AK93:AP93" si="48">SUM(AK88:AK92)</f>
        <v>19.269615566594197</v>
      </c>
      <c r="AL93" s="345">
        <f t="shared" si="48"/>
        <v>18.963912239012181</v>
      </c>
      <c r="AM93" s="345">
        <f t="shared" si="48"/>
        <v>18.658208911430165</v>
      </c>
      <c r="AN93" s="345">
        <f t="shared" si="48"/>
        <v>18.352505583848153</v>
      </c>
      <c r="AO93" s="345">
        <f t="shared" si="48"/>
        <v>18.044337537972201</v>
      </c>
      <c r="AP93" s="345">
        <f t="shared" si="48"/>
        <v>17.736169492096248</v>
      </c>
    </row>
    <row r="94" spans="1:42" ht="36">
      <c r="A94" s="100" t="s">
        <v>432</v>
      </c>
      <c r="B94" s="92">
        <v>10.134775992874992</v>
      </c>
      <c r="C94" s="92">
        <v>10.120729741823462</v>
      </c>
      <c r="D94" s="92">
        <v>10.414552607158173</v>
      </c>
      <c r="E94" s="92">
        <v>10.512849554441747</v>
      </c>
      <c r="F94" s="92">
        <v>10.332884792958039</v>
      </c>
      <c r="G94" s="92">
        <v>10.425105845091515</v>
      </c>
      <c r="H94" s="92">
        <v>10.728589682893283</v>
      </c>
      <c r="I94" s="92">
        <v>10.656248232558173</v>
      </c>
      <c r="J94" s="92">
        <v>10.895866495291155</v>
      </c>
      <c r="K94" s="92">
        <v>10.923360166586665</v>
      </c>
      <c r="L94" s="92">
        <v>11.045770413374624</v>
      </c>
      <c r="M94" s="92">
        <v>11.107584735712413</v>
      </c>
      <c r="N94" s="92">
        <v>10.730432365820489</v>
      </c>
      <c r="O94" s="92">
        <v>10.569040507646175</v>
      </c>
      <c r="P94" s="92">
        <v>11.203655347299849</v>
      </c>
      <c r="Q94" s="92">
        <v>10.914344502787742</v>
      </c>
      <c r="R94" s="92">
        <v>10.626012309457053</v>
      </c>
      <c r="S94" s="92">
        <v>10.470974292092952</v>
      </c>
      <c r="T94" s="92">
        <v>10.826653574839428</v>
      </c>
      <c r="U94" s="92">
        <v>10.887541284451407</v>
      </c>
      <c r="V94" s="92">
        <v>10.520960845948002</v>
      </c>
      <c r="W94" s="92">
        <v>10.374668377566236</v>
      </c>
      <c r="X94" s="92">
        <v>9.8285319985457029</v>
      </c>
      <c r="Y94" s="92">
        <v>10.489174137653288</v>
      </c>
      <c r="Z94" s="92">
        <v>10.457424834041182</v>
      </c>
      <c r="AA94" s="92">
        <v>10.351930646592356</v>
      </c>
      <c r="AB94" s="92">
        <v>9.6612968004801765</v>
      </c>
      <c r="AC94" s="92">
        <v>9.2712108832133975</v>
      </c>
      <c r="AD94" s="92">
        <v>9.3602375623336016</v>
      </c>
      <c r="AE94" s="92">
        <v>9.2304106176256155</v>
      </c>
      <c r="AF94" s="92">
        <v>10.277181419270027</v>
      </c>
      <c r="AG94" s="92">
        <v>9.7438849369816047</v>
      </c>
      <c r="AH94" s="92">
        <v>9.8153605679559526</v>
      </c>
      <c r="AI94" s="425">
        <v>10.691420084736494</v>
      </c>
      <c r="AJ94" s="423">
        <f>AJ96</f>
        <v>10.514852323270958</v>
      </c>
      <c r="AK94" s="425">
        <v>10.338284561805423</v>
      </c>
      <c r="AL94" s="423">
        <f>AL96</f>
        <v>10.115371383606846</v>
      </c>
      <c r="AM94" s="423">
        <f>AM96</f>
        <v>9.8924582054082695</v>
      </c>
      <c r="AN94" s="423">
        <v>9.6695450272096917</v>
      </c>
      <c r="AO94" s="423">
        <f>AO96</f>
        <v>9.4526530171808645</v>
      </c>
      <c r="AP94" s="423">
        <v>9.2357610071520355</v>
      </c>
    </row>
    <row r="95" spans="1:42" ht="36">
      <c r="A95" s="100" t="s">
        <v>433</v>
      </c>
      <c r="B95" s="92">
        <v>0.44889516577650651</v>
      </c>
      <c r="C95" s="92">
        <v>0.45797812254696263</v>
      </c>
      <c r="D95" s="92">
        <v>0.46711398528886527</v>
      </c>
      <c r="E95" s="92">
        <v>0.47005367802605164</v>
      </c>
      <c r="F95" s="92">
        <v>0.47966293386423142</v>
      </c>
      <c r="G95" s="92">
        <v>0.48153791181328254</v>
      </c>
      <c r="H95" s="92">
        <v>0.4902221860957281</v>
      </c>
      <c r="I95" s="92">
        <v>0.49895299933967119</v>
      </c>
      <c r="J95" s="92">
        <v>0.50093710608657982</v>
      </c>
      <c r="K95" s="92">
        <v>0.51088418808509672</v>
      </c>
      <c r="L95" s="92">
        <v>0.51946768819440792</v>
      </c>
      <c r="M95" s="92">
        <v>0.51657152678964602</v>
      </c>
      <c r="N95" s="92">
        <v>0.52042450285573838</v>
      </c>
      <c r="O95" s="92">
        <v>0.52410842452287321</v>
      </c>
      <c r="P95" s="92">
        <v>0.55140122021937676</v>
      </c>
      <c r="Q95" s="92">
        <v>0.53908706845687471</v>
      </c>
      <c r="R95" s="92">
        <v>0.5311573446584027</v>
      </c>
      <c r="S95" s="92">
        <v>0.52604250039473877</v>
      </c>
      <c r="T95" s="92">
        <v>0.5471906884105433</v>
      </c>
      <c r="U95" s="92">
        <v>0.55695254238485969</v>
      </c>
      <c r="V95" s="92">
        <v>0.5371602567570416</v>
      </c>
      <c r="W95" s="92">
        <v>0.53243316349032677</v>
      </c>
      <c r="X95" s="92">
        <v>0.49428857354729272</v>
      </c>
      <c r="Y95" s="92">
        <v>0.5302277621295306</v>
      </c>
      <c r="Z95" s="92">
        <v>0.53624775976305461</v>
      </c>
      <c r="AA95" s="92">
        <v>0.53667860218291541</v>
      </c>
      <c r="AB95" s="92">
        <v>0.49943459383389405</v>
      </c>
      <c r="AC95" s="92">
        <v>0.48164325321950402</v>
      </c>
      <c r="AD95" s="92">
        <v>0.48265805771035503</v>
      </c>
      <c r="AE95" s="92">
        <v>0.4708187866156156</v>
      </c>
      <c r="AF95" s="92">
        <v>0.52976305839711257</v>
      </c>
      <c r="AG95" s="92">
        <v>0.49582649040039151</v>
      </c>
      <c r="AH95" s="92">
        <v>0.49969717037247424</v>
      </c>
      <c r="AI95" s="425"/>
      <c r="AJ95" s="424"/>
      <c r="AK95" s="425"/>
      <c r="AL95" s="424"/>
      <c r="AM95" s="424"/>
      <c r="AN95" s="424"/>
      <c r="AO95" s="424"/>
      <c r="AP95" s="424"/>
    </row>
    <row r="96" spans="1:42">
      <c r="A96" s="116" t="s">
        <v>434</v>
      </c>
      <c r="B96" s="117">
        <v>10.583671158651498</v>
      </c>
      <c r="C96" s="117">
        <v>10.578707864370426</v>
      </c>
      <c r="D96" s="117">
        <v>10.881666592447038</v>
      </c>
      <c r="E96" s="117">
        <v>10.982903232467798</v>
      </c>
      <c r="F96" s="117">
        <v>10.81254772682227</v>
      </c>
      <c r="G96" s="117">
        <v>10.906643756904797</v>
      </c>
      <c r="H96" s="117">
        <v>11.218811868989011</v>
      </c>
      <c r="I96" s="117">
        <v>11.155201231897845</v>
      </c>
      <c r="J96" s="117">
        <v>11.396803601377735</v>
      </c>
      <c r="K96" s="117">
        <v>11.434244354671762</v>
      </c>
      <c r="L96" s="117">
        <v>11.565238101569033</v>
      </c>
      <c r="M96" s="117">
        <v>11.624156262502058</v>
      </c>
      <c r="N96" s="117">
        <v>11.250856868676227</v>
      </c>
      <c r="O96" s="117">
        <v>11.093148932169049</v>
      </c>
      <c r="P96" s="117">
        <v>11.755056567519226</v>
      </c>
      <c r="Q96" s="117">
        <v>11.453431571244616</v>
      </c>
      <c r="R96" s="117">
        <v>11.157169654115457</v>
      </c>
      <c r="S96" s="117">
        <v>10.997016792487692</v>
      </c>
      <c r="T96" s="117">
        <v>11.373844263249971</v>
      </c>
      <c r="U96" s="117">
        <v>11.444493826836267</v>
      </c>
      <c r="V96" s="117">
        <v>11.058121102705044</v>
      </c>
      <c r="W96" s="117">
        <v>10.907101541056562</v>
      </c>
      <c r="X96" s="117">
        <v>10.322820572092995</v>
      </c>
      <c r="Y96" s="117">
        <v>11.019401899782819</v>
      </c>
      <c r="Z96" s="117">
        <v>10.993672593804238</v>
      </c>
      <c r="AA96" s="117">
        <v>10.888609248775271</v>
      </c>
      <c r="AB96" s="117">
        <v>10.160731394314071</v>
      </c>
      <c r="AC96" s="117">
        <v>9.7528541364329016</v>
      </c>
      <c r="AD96" s="117">
        <v>9.8428956200439561</v>
      </c>
      <c r="AE96" s="117">
        <v>9.7012294042412304</v>
      </c>
      <c r="AF96" s="117">
        <v>10.806944477667139</v>
      </c>
      <c r="AG96" s="117">
        <v>10.239711427381996</v>
      </c>
      <c r="AH96" s="117">
        <v>10.315057738328427</v>
      </c>
      <c r="AI96" s="346">
        <f>AI94</f>
        <v>10.691420084736494</v>
      </c>
      <c r="AJ96" s="338">
        <f>AI96+(AK96-AI96)/2</f>
        <v>10.514852323270958</v>
      </c>
      <c r="AK96" s="346">
        <f t="shared" ref="AK96:AP96" si="49">AK94</f>
        <v>10.338284561805423</v>
      </c>
      <c r="AL96" s="338">
        <f>AK96+(AN96-AK96)/3</f>
        <v>10.115371383606846</v>
      </c>
      <c r="AM96" s="338">
        <f>AK96+(AN96-AK96)*2/3</f>
        <v>9.8924582054082695</v>
      </c>
      <c r="AN96" s="346">
        <f t="shared" si="49"/>
        <v>9.6695450272096917</v>
      </c>
      <c r="AO96" s="338">
        <f>AN96+(AP96-AN96)/2</f>
        <v>9.4526530171808645</v>
      </c>
      <c r="AP96" s="346">
        <f t="shared" si="49"/>
        <v>9.2357610071520355</v>
      </c>
    </row>
    <row r="97" spans="1:42">
      <c r="A97" s="118" t="s">
        <v>435</v>
      </c>
      <c r="B97" s="119">
        <v>88.297176459010771</v>
      </c>
      <c r="C97" s="119">
        <v>87.390854815917621</v>
      </c>
      <c r="D97" s="119">
        <v>87.06720273885918</v>
      </c>
      <c r="E97" s="119">
        <v>85.91645449221943</v>
      </c>
      <c r="F97" s="119">
        <v>85.034511623715943</v>
      </c>
      <c r="G97" s="119">
        <v>85.708998949922403</v>
      </c>
      <c r="H97" s="119">
        <v>86.605311680057994</v>
      </c>
      <c r="I97" s="119">
        <v>86.666545195023161</v>
      </c>
      <c r="J97" s="119">
        <v>86.890664437805256</v>
      </c>
      <c r="K97" s="119">
        <v>87.293814862750423</v>
      </c>
      <c r="L97" s="119">
        <v>89.664947201193954</v>
      </c>
      <c r="M97" s="119">
        <v>89.388723478670073</v>
      </c>
      <c r="N97" s="119">
        <v>87.629753115998554</v>
      </c>
      <c r="O97" s="119">
        <v>84.434271384023134</v>
      </c>
      <c r="P97" s="119">
        <v>85.615608462086982</v>
      </c>
      <c r="Q97" s="119">
        <v>84.863378960538526</v>
      </c>
      <c r="R97" s="119">
        <v>84.057222555191913</v>
      </c>
      <c r="S97" s="119">
        <v>84.373719458314781</v>
      </c>
      <c r="T97" s="119">
        <v>86.167156630300951</v>
      </c>
      <c r="U97" s="119">
        <v>85.173015052701729</v>
      </c>
      <c r="V97" s="119">
        <v>83.095108293638134</v>
      </c>
      <c r="W97" s="119">
        <v>82.779617267877029</v>
      </c>
      <c r="X97" s="119">
        <v>82.012467470898414</v>
      </c>
      <c r="Y97" s="119">
        <v>81.963010452880582</v>
      </c>
      <c r="Z97" s="119">
        <v>83.494725441602583</v>
      </c>
      <c r="AA97" s="119">
        <v>83.110580125919128</v>
      </c>
      <c r="AB97" s="119">
        <v>81.690808481434914</v>
      </c>
      <c r="AC97" s="119">
        <v>81.314372586595042</v>
      </c>
      <c r="AD97" s="119">
        <v>80.438063869247728</v>
      </c>
      <c r="AE97" s="119">
        <v>78.615927276214677</v>
      </c>
      <c r="AF97" s="119">
        <v>78.244410458031737</v>
      </c>
      <c r="AG97" s="119">
        <v>76.506547700675526</v>
      </c>
      <c r="AH97" s="119">
        <v>76.524914543828885</v>
      </c>
      <c r="AI97" s="347">
        <v>75.023429404278261</v>
      </c>
      <c r="AJ97" s="347">
        <f>SUM(AJ87,AJ93,AJ96)</f>
        <v>73.808860676781123</v>
      </c>
      <c r="AK97" s="347">
        <f t="shared" ref="AK97:AP97" si="50">SUM(AK87,AK93,AK96)</f>
        <v>72.594291949284013</v>
      </c>
      <c r="AL97" s="347">
        <f t="shared" si="50"/>
        <v>71.357588608554551</v>
      </c>
      <c r="AM97" s="347">
        <f t="shared" si="50"/>
        <v>70.120885267825088</v>
      </c>
      <c r="AN97" s="347">
        <f t="shared" si="50"/>
        <v>68.884181927095639</v>
      </c>
      <c r="AO97" s="347">
        <f t="shared" si="50"/>
        <v>67.705243355307857</v>
      </c>
      <c r="AP97" s="347">
        <f t="shared" si="50"/>
        <v>66.526304783520061</v>
      </c>
    </row>
    <row r="98" spans="1:42">
      <c r="A98" s="120"/>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row>
    <row r="99" spans="1:42">
      <c r="A99" s="122" t="s">
        <v>54</v>
      </c>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428" t="s">
        <v>393</v>
      </c>
      <c r="AJ99" s="428"/>
      <c r="AK99" s="428"/>
      <c r="AL99" s="428"/>
      <c r="AM99" s="428"/>
      <c r="AN99" s="428"/>
      <c r="AO99" s="428"/>
      <c r="AP99" s="428"/>
    </row>
    <row r="100" spans="1:42" ht="105.6">
      <c r="A100" s="75" t="s">
        <v>394</v>
      </c>
      <c r="B100" s="76">
        <v>1990</v>
      </c>
      <c r="C100" s="76">
        <v>1991</v>
      </c>
      <c r="D100" s="76">
        <v>1992</v>
      </c>
      <c r="E100" s="76">
        <v>1993</v>
      </c>
      <c r="F100" s="76">
        <v>1994</v>
      </c>
      <c r="G100" s="76">
        <v>1995</v>
      </c>
      <c r="H100" s="76">
        <v>1996</v>
      </c>
      <c r="I100" s="76">
        <v>1997</v>
      </c>
      <c r="J100" s="76">
        <v>1998</v>
      </c>
      <c r="K100" s="76">
        <v>1999</v>
      </c>
      <c r="L100" s="76">
        <v>2000</v>
      </c>
      <c r="M100" s="76">
        <v>2001</v>
      </c>
      <c r="N100" s="76">
        <v>2002</v>
      </c>
      <c r="O100" s="76">
        <v>2003</v>
      </c>
      <c r="P100" s="76">
        <v>2004</v>
      </c>
      <c r="Q100" s="76">
        <v>2005</v>
      </c>
      <c r="R100" s="76">
        <v>2006</v>
      </c>
      <c r="S100" s="76">
        <v>2007</v>
      </c>
      <c r="T100" s="76">
        <v>2008</v>
      </c>
      <c r="U100" s="76">
        <v>2009</v>
      </c>
      <c r="V100" s="76">
        <v>2010</v>
      </c>
      <c r="W100" s="76">
        <v>2011</v>
      </c>
      <c r="X100" s="76">
        <v>2012</v>
      </c>
      <c r="Y100" s="76">
        <v>2013</v>
      </c>
      <c r="Z100" s="76">
        <v>2014</v>
      </c>
      <c r="AA100" s="76">
        <v>2015</v>
      </c>
      <c r="AB100" s="76">
        <v>2016</v>
      </c>
      <c r="AC100" s="76">
        <v>2017</v>
      </c>
      <c r="AD100" s="76">
        <v>2018</v>
      </c>
      <c r="AE100" s="76">
        <v>2019</v>
      </c>
      <c r="AF100" s="76">
        <v>2020</v>
      </c>
      <c r="AG100" s="77">
        <v>2021</v>
      </c>
      <c r="AH100" s="77" t="s">
        <v>395</v>
      </c>
      <c r="AI100" s="76">
        <v>2023</v>
      </c>
      <c r="AJ100" s="152">
        <v>2024</v>
      </c>
      <c r="AK100" s="76">
        <v>2025</v>
      </c>
      <c r="AL100" s="152">
        <v>2026</v>
      </c>
      <c r="AM100" s="152">
        <v>2027</v>
      </c>
      <c r="AN100" s="76">
        <v>2028</v>
      </c>
      <c r="AO100" s="152">
        <v>2029</v>
      </c>
      <c r="AP100" s="76">
        <v>2030</v>
      </c>
    </row>
    <row r="101" spans="1:42">
      <c r="A101" s="100" t="s">
        <v>436</v>
      </c>
      <c r="B101" s="92">
        <v>14.828900548254703</v>
      </c>
      <c r="C101" s="92">
        <v>16.584903331942677</v>
      </c>
      <c r="D101" s="92">
        <v>18.49092406264765</v>
      </c>
      <c r="E101" s="92">
        <v>20.304137743764475</v>
      </c>
      <c r="F101" s="92">
        <v>22.25515985512796</v>
      </c>
      <c r="G101" s="92">
        <v>24.984241759292541</v>
      </c>
      <c r="H101" s="92">
        <v>26.952555998568176</v>
      </c>
      <c r="I101" s="92">
        <v>28.430785529192072</v>
      </c>
      <c r="J101" s="92">
        <v>30.669531519408245</v>
      </c>
      <c r="K101" s="92">
        <v>32.478576610160559</v>
      </c>
      <c r="L101" s="92">
        <v>34.116533287836447</v>
      </c>
      <c r="M101" s="92">
        <v>37.75472671112481</v>
      </c>
      <c r="N101" s="92">
        <v>40.026893524334966</v>
      </c>
      <c r="O101" s="92">
        <v>42.738771245684013</v>
      </c>
      <c r="P101" s="92">
        <v>44.228814960513198</v>
      </c>
      <c r="Q101" s="92">
        <v>45.200659844141029</v>
      </c>
      <c r="R101" s="92">
        <v>47.733893278569838</v>
      </c>
      <c r="S101" s="92">
        <v>49.611202010485265</v>
      </c>
      <c r="T101" s="92">
        <v>49.512065824594487</v>
      </c>
      <c r="U101" s="92">
        <v>51.534759802399471</v>
      </c>
      <c r="V101" s="92">
        <v>53.161741196539758</v>
      </c>
      <c r="W101" s="92">
        <v>54.187089467236966</v>
      </c>
      <c r="X101" s="92">
        <v>55.592391803427951</v>
      </c>
      <c r="Y101" s="92">
        <v>56.009328947741729</v>
      </c>
      <c r="Z101" s="92">
        <v>56.333094863972846</v>
      </c>
      <c r="AA101" s="92">
        <v>56.769443655039481</v>
      </c>
      <c r="AB101" s="92">
        <v>56.364513435134768</v>
      </c>
      <c r="AC101" s="92">
        <v>54.965805327748186</v>
      </c>
      <c r="AD101" s="92">
        <v>51.938509947187022</v>
      </c>
      <c r="AE101" s="92">
        <v>50.229340115769034</v>
      </c>
      <c r="AF101" s="92">
        <v>40.58577850508091</v>
      </c>
      <c r="AG101" s="92">
        <v>43.991025302299704</v>
      </c>
      <c r="AH101" s="92">
        <v>43.718800691392026</v>
      </c>
      <c r="AI101" s="338">
        <v>36.954335135523699</v>
      </c>
      <c r="AJ101" s="338">
        <f>AI101+(AK101-AI101)/2</f>
        <v>32.918294959466671</v>
      </c>
      <c r="AK101" s="338">
        <v>28.882254783409643</v>
      </c>
      <c r="AL101" s="338">
        <f>AK101+(AN101-AK101)/3</f>
        <v>26.575893317398158</v>
      </c>
      <c r="AM101" s="338">
        <f>AK101+(AN101-AK101)*2/3</f>
        <v>24.269531851386677</v>
      </c>
      <c r="AN101" s="338">
        <v>21.963170385375193</v>
      </c>
      <c r="AO101" s="338">
        <f>AN101+(AP101-AN101)/2</f>
        <v>19.736103056653324</v>
      </c>
      <c r="AP101" s="338">
        <v>17.509035727931455</v>
      </c>
    </row>
    <row r="102" spans="1:42">
      <c r="A102" s="100" t="s">
        <v>437</v>
      </c>
      <c r="B102" s="92">
        <v>52.864934562183009</v>
      </c>
      <c r="C102" s="92">
        <v>51.727071065642505</v>
      </c>
      <c r="D102" s="92">
        <v>52.581740664554189</v>
      </c>
      <c r="E102" s="92">
        <v>50.795213940162178</v>
      </c>
      <c r="F102" s="92">
        <v>48.756855962112446</v>
      </c>
      <c r="G102" s="92">
        <v>47.3833417985621</v>
      </c>
      <c r="H102" s="92">
        <v>45.986968139771825</v>
      </c>
      <c r="I102" s="92">
        <v>45.087095701551526</v>
      </c>
      <c r="J102" s="92">
        <v>44.13305139211446</v>
      </c>
      <c r="K102" s="92">
        <v>43.305462708404598</v>
      </c>
      <c r="L102" s="92">
        <v>41.496089106950933</v>
      </c>
      <c r="M102" s="92">
        <v>40.668459853365036</v>
      </c>
      <c r="N102" s="92">
        <v>39.081876928906823</v>
      </c>
      <c r="O102" s="92">
        <v>36.983763027926642</v>
      </c>
      <c r="P102" s="92">
        <v>35.109875680383482</v>
      </c>
      <c r="Q102" s="92">
        <v>32.560602040018189</v>
      </c>
      <c r="R102" s="92">
        <v>30.026014725755594</v>
      </c>
      <c r="S102" s="92">
        <v>27.822772736642332</v>
      </c>
      <c r="T102" s="92">
        <v>24.822706692584855</v>
      </c>
      <c r="U102" s="92">
        <v>23.474561962443588</v>
      </c>
      <c r="V102" s="92">
        <v>21.865358703372166</v>
      </c>
      <c r="W102" s="92">
        <v>20.423573167608822</v>
      </c>
      <c r="X102" s="92">
        <v>18.561267611816909</v>
      </c>
      <c r="Y102" s="92">
        <v>17.820319285114543</v>
      </c>
      <c r="Z102" s="92">
        <v>18.075001508145764</v>
      </c>
      <c r="AA102" s="92">
        <v>18.007919714881577</v>
      </c>
      <c r="AB102" s="92">
        <v>19.13836720140694</v>
      </c>
      <c r="AC102" s="92">
        <v>19.302812094913794</v>
      </c>
      <c r="AD102" s="92">
        <v>20.207172596100715</v>
      </c>
      <c r="AE102" s="92">
        <v>21.804590716524594</v>
      </c>
      <c r="AF102" s="92">
        <v>18.574117156975827</v>
      </c>
      <c r="AG102" s="92">
        <v>22.384587551099386</v>
      </c>
      <c r="AH102" s="92">
        <v>24.491091714131233</v>
      </c>
      <c r="AI102" s="338">
        <v>25.241897577338833</v>
      </c>
      <c r="AJ102" s="338">
        <f t="shared" ref="AJ102:AJ105" si="51">AI102+(AK102-AI102)/2</f>
        <v>26.32338857904503</v>
      </c>
      <c r="AK102" s="338">
        <v>27.404879580751231</v>
      </c>
      <c r="AL102" s="338">
        <f t="shared" ref="AL102:AL105" si="52">AK102+(AN102-AK102)/3</f>
        <v>26.812518444007072</v>
      </c>
      <c r="AM102" s="338">
        <f t="shared" ref="AM102:AM105" si="53">AK102+(AN102-AK102)*2/3</f>
        <v>26.220157307262912</v>
      </c>
      <c r="AN102" s="338">
        <v>25.627796170518753</v>
      </c>
      <c r="AO102" s="338">
        <f t="shared" ref="AO102:AO105" si="54">AN102+(AP102-AN102)/2</f>
        <v>25.043683100186048</v>
      </c>
      <c r="AP102" s="338">
        <v>24.459570029853342</v>
      </c>
    </row>
    <row r="103" spans="1:42">
      <c r="A103" s="100" t="s">
        <v>438</v>
      </c>
      <c r="B103" s="92">
        <v>5.3684344595214782E-2</v>
      </c>
      <c r="C103" s="92">
        <v>4.2806372871389199E-2</v>
      </c>
      <c r="D103" s="92">
        <v>3.7404328979852498E-2</v>
      </c>
      <c r="E103" s="92">
        <v>3.1425064479676752E-2</v>
      </c>
      <c r="F103" s="92">
        <v>2.6816871143434531E-2</v>
      </c>
      <c r="G103" s="92">
        <v>2.1259492284651429E-2</v>
      </c>
      <c r="H103" s="92">
        <v>3.9211951793717593E-2</v>
      </c>
      <c r="I103" s="92">
        <v>8.3992484892555314E-2</v>
      </c>
      <c r="J103" s="92">
        <v>0.13517900093866159</v>
      </c>
      <c r="K103" s="92">
        <v>0.18190399377334324</v>
      </c>
      <c r="L103" s="92">
        <v>0.38345937292622045</v>
      </c>
      <c r="M103" s="92">
        <v>0.2152482603794085</v>
      </c>
      <c r="N103" s="92">
        <v>0.2007947348223017</v>
      </c>
      <c r="O103" s="92">
        <v>0.13663086346656816</v>
      </c>
      <c r="P103" s="92">
        <v>0.12443572656127058</v>
      </c>
      <c r="Q103" s="92">
        <v>0.16136122517646795</v>
      </c>
      <c r="R103" s="92">
        <v>0.15152266323490352</v>
      </c>
      <c r="S103" s="92">
        <v>0.12377960247802904</v>
      </c>
      <c r="T103" s="92">
        <v>0.10777813760188792</v>
      </c>
      <c r="U103" s="92">
        <v>9.6798969739731219E-2</v>
      </c>
      <c r="V103" s="92">
        <v>0.11330983710526804</v>
      </c>
      <c r="W103" s="92">
        <v>0.16371780669555128</v>
      </c>
      <c r="X103" s="92">
        <v>0.12827870162685739</v>
      </c>
      <c r="Y103" s="92">
        <v>0.11484611794314638</v>
      </c>
      <c r="Z103" s="92">
        <v>7.6632048163029751E-2</v>
      </c>
      <c r="AA103" s="92">
        <v>6.6260099862297708E-2</v>
      </c>
      <c r="AB103" s="92">
        <v>5.8514231212101191E-2</v>
      </c>
      <c r="AC103" s="92">
        <v>4.8790861467507718E-2</v>
      </c>
      <c r="AD103" s="92">
        <v>4.087942698376465E-2</v>
      </c>
      <c r="AE103" s="92">
        <v>3.4367040160253708E-2</v>
      </c>
      <c r="AF103" s="92">
        <v>2.1919793513737077E-2</v>
      </c>
      <c r="AG103" s="92">
        <v>4.2627768159553811E-2</v>
      </c>
      <c r="AH103" s="92">
        <v>3.8735338189180624E-2</v>
      </c>
      <c r="AI103" s="338">
        <v>2.834664748317978E-2</v>
      </c>
      <c r="AJ103" s="338">
        <f t="shared" si="51"/>
        <v>1.8055249245641093E-2</v>
      </c>
      <c r="AK103" s="338">
        <v>7.7638510081024055E-3</v>
      </c>
      <c r="AL103" s="338">
        <f t="shared" si="52"/>
        <v>5.6248237008654309E-3</v>
      </c>
      <c r="AM103" s="338">
        <f t="shared" si="53"/>
        <v>3.4857963936284573E-3</v>
      </c>
      <c r="AN103" s="338">
        <v>1.346769086391483E-3</v>
      </c>
      <c r="AO103" s="338">
        <f t="shared" si="54"/>
        <v>7.2638653143532747E-4</v>
      </c>
      <c r="AP103" s="338">
        <v>1.0600397647917197E-4</v>
      </c>
    </row>
    <row r="104" spans="1:42">
      <c r="A104" s="100" t="s">
        <v>439</v>
      </c>
      <c r="B104" s="92">
        <v>6.8174250519054477E-5</v>
      </c>
      <c r="C104" s="92">
        <v>6.5507762927996245E-5</v>
      </c>
      <c r="D104" s="92">
        <v>6.4903882827505461E-5</v>
      </c>
      <c r="E104" s="92">
        <v>4.1018114274759057E-4</v>
      </c>
      <c r="F104" s="92">
        <v>2.0732361953429399E-4</v>
      </c>
      <c r="G104" s="92">
        <v>1.0448634615168199E-4</v>
      </c>
      <c r="H104" s="92">
        <v>1.1377930376265137E-4</v>
      </c>
      <c r="I104" s="92">
        <v>8.4173844595526189E-5</v>
      </c>
      <c r="J104" s="92">
        <v>7.6387895749361646E-5</v>
      </c>
      <c r="K104" s="92">
        <v>6.9788574437655012E-5</v>
      </c>
      <c r="L104" s="92">
        <v>3.0984326370853881E-4</v>
      </c>
      <c r="M104" s="92">
        <v>1.3222281383638882E-3</v>
      </c>
      <c r="N104" s="92">
        <v>2.7321577278141182E-3</v>
      </c>
      <c r="O104" s="92">
        <v>2.0898707120941083E-3</v>
      </c>
      <c r="P104" s="92">
        <v>2.2508821101242709E-3</v>
      </c>
      <c r="Q104" s="92">
        <v>4.3775883034004939E-3</v>
      </c>
      <c r="R104" s="92">
        <v>5.4557915149940524E-3</v>
      </c>
      <c r="S104" s="92">
        <v>4.2111804646294175E-3</v>
      </c>
      <c r="T104" s="92">
        <v>4.941220469118158E-3</v>
      </c>
      <c r="U104" s="92">
        <v>4.7212896571305688E-3</v>
      </c>
      <c r="V104" s="92">
        <v>4.8249530079988523E-3</v>
      </c>
      <c r="W104" s="92">
        <v>1.5396944092030126E-2</v>
      </c>
      <c r="X104" s="92">
        <v>1.6402705869016151E-2</v>
      </c>
      <c r="Y104" s="92">
        <v>1.7662279637201909E-2</v>
      </c>
      <c r="Z104" s="92">
        <v>9.2633109684829868E-3</v>
      </c>
      <c r="AA104" s="92">
        <v>9.0056454357227492E-3</v>
      </c>
      <c r="AB104" s="92">
        <v>6.2449086478409566E-3</v>
      </c>
      <c r="AC104" s="92">
        <v>4.1924704926454351E-3</v>
      </c>
      <c r="AD104" s="92">
        <v>3.3790205656353866E-3</v>
      </c>
      <c r="AE104" s="92">
        <v>3.2455505590820305E-3</v>
      </c>
      <c r="AF104" s="92">
        <v>2.5849896018422399E-3</v>
      </c>
      <c r="AG104" s="92">
        <v>5.427600228581228E-3</v>
      </c>
      <c r="AH104" s="92">
        <v>5.2623792669831094E-3</v>
      </c>
      <c r="AI104" s="338">
        <v>5.7580527925953006E-3</v>
      </c>
      <c r="AJ104" s="338">
        <f t="shared" si="51"/>
        <v>5.6249479482824542E-3</v>
      </c>
      <c r="AK104" s="338">
        <v>5.491843103969607E-3</v>
      </c>
      <c r="AL104" s="338">
        <f t="shared" si="52"/>
        <v>5.3498133502377062E-3</v>
      </c>
      <c r="AM104" s="338">
        <f t="shared" si="53"/>
        <v>5.2077835965058054E-3</v>
      </c>
      <c r="AN104" s="338">
        <v>5.0657538427739046E-3</v>
      </c>
      <c r="AO104" s="338">
        <f t="shared" si="54"/>
        <v>4.9462684269816308E-3</v>
      </c>
      <c r="AP104" s="338">
        <v>4.8267830111893579E-3</v>
      </c>
    </row>
    <row r="105" spans="1:42">
      <c r="A105" s="100" t="s">
        <v>440</v>
      </c>
      <c r="B105" s="92">
        <v>0</v>
      </c>
      <c r="C105" s="92">
        <v>0</v>
      </c>
      <c r="D105" s="92">
        <v>0</v>
      </c>
      <c r="E105" s="92">
        <v>0</v>
      </c>
      <c r="F105" s="92">
        <v>0</v>
      </c>
      <c r="G105" s="92">
        <v>0</v>
      </c>
      <c r="H105" s="92">
        <v>0</v>
      </c>
      <c r="I105" s="92">
        <v>0</v>
      </c>
      <c r="J105" s="92">
        <v>0</v>
      </c>
      <c r="K105" s="92">
        <v>0</v>
      </c>
      <c r="L105" s="92">
        <v>0</v>
      </c>
      <c r="M105" s="92">
        <v>0</v>
      </c>
      <c r="N105" s="92">
        <v>0</v>
      </c>
      <c r="O105" s="92">
        <v>0</v>
      </c>
      <c r="P105" s="92">
        <v>0</v>
      </c>
      <c r="Q105" s="92">
        <v>0</v>
      </c>
      <c r="R105" s="92">
        <v>0</v>
      </c>
      <c r="S105" s="92">
        <v>0</v>
      </c>
      <c r="T105" s="92">
        <v>0</v>
      </c>
      <c r="U105" s="92">
        <v>0</v>
      </c>
      <c r="V105" s="92">
        <v>0</v>
      </c>
      <c r="W105" s="92">
        <v>0</v>
      </c>
      <c r="X105" s="92">
        <v>0</v>
      </c>
      <c r="Y105" s="92">
        <v>0</v>
      </c>
      <c r="Z105" s="92">
        <v>0</v>
      </c>
      <c r="AA105" s="92">
        <v>0</v>
      </c>
      <c r="AB105" s="92">
        <v>0</v>
      </c>
      <c r="AC105" s="92">
        <v>0</v>
      </c>
      <c r="AD105" s="92">
        <v>0</v>
      </c>
      <c r="AE105" s="92">
        <v>0</v>
      </c>
      <c r="AF105" s="92">
        <v>0</v>
      </c>
      <c r="AG105" s="92">
        <v>0</v>
      </c>
      <c r="AH105" s="92">
        <v>0</v>
      </c>
      <c r="AI105" s="338">
        <v>0</v>
      </c>
      <c r="AJ105" s="338">
        <f t="shared" si="51"/>
        <v>0</v>
      </c>
      <c r="AK105" s="338">
        <v>0</v>
      </c>
      <c r="AL105" s="338">
        <f t="shared" si="52"/>
        <v>0</v>
      </c>
      <c r="AM105" s="338">
        <f t="shared" si="53"/>
        <v>0</v>
      </c>
      <c r="AN105" s="338">
        <v>0</v>
      </c>
      <c r="AO105" s="338">
        <f t="shared" si="54"/>
        <v>0</v>
      </c>
      <c r="AP105" s="338">
        <v>0</v>
      </c>
    </row>
    <row r="106" spans="1:42">
      <c r="A106" s="100" t="s">
        <v>441</v>
      </c>
      <c r="B106" s="92">
        <v>11.157973649943141</v>
      </c>
      <c r="C106" s="92">
        <v>12.426368744768642</v>
      </c>
      <c r="D106" s="92">
        <v>13.632218502394529</v>
      </c>
      <c r="E106" s="92">
        <v>14.716348692103425</v>
      </c>
      <c r="F106" s="92">
        <v>15.232167406233545</v>
      </c>
      <c r="G106" s="92">
        <v>15.798898077183942</v>
      </c>
      <c r="H106" s="92">
        <v>16.269327923851662</v>
      </c>
      <c r="I106" s="92">
        <v>16.991413317250416</v>
      </c>
      <c r="J106" s="92">
        <v>17.253150797821927</v>
      </c>
      <c r="K106" s="92">
        <v>17.370381230233768</v>
      </c>
      <c r="L106" s="92">
        <v>17.364669917260134</v>
      </c>
      <c r="M106" s="92">
        <v>17.754064479021739</v>
      </c>
      <c r="N106" s="92">
        <v>18.039365299240174</v>
      </c>
      <c r="O106" s="92">
        <v>18.220700000304856</v>
      </c>
      <c r="P106" s="92">
        <v>17.933627973171433</v>
      </c>
      <c r="Q106" s="92">
        <v>17.776745621578549</v>
      </c>
      <c r="R106" s="92">
        <v>17.506972219096841</v>
      </c>
      <c r="S106" s="92">
        <v>17.00418094361406</v>
      </c>
      <c r="T106" s="92">
        <v>16.252140510928562</v>
      </c>
      <c r="U106" s="92">
        <v>16.309075062566876</v>
      </c>
      <c r="V106" s="92">
        <v>16.911088257357623</v>
      </c>
      <c r="W106" s="92">
        <v>17.332946179865967</v>
      </c>
      <c r="X106" s="92">
        <v>17.004983258986886</v>
      </c>
      <c r="Y106" s="92">
        <v>17.191668645003663</v>
      </c>
      <c r="Z106" s="92">
        <v>17.264178511124076</v>
      </c>
      <c r="AA106" s="92">
        <v>17.55826430888801</v>
      </c>
      <c r="AB106" s="92">
        <v>17.798146762270882</v>
      </c>
      <c r="AC106" s="92">
        <v>17.686293594218462</v>
      </c>
      <c r="AD106" s="92">
        <v>17.463060566179109</v>
      </c>
      <c r="AE106" s="92">
        <v>17.221554095944324</v>
      </c>
      <c r="AF106" s="92">
        <v>14.920753943111718</v>
      </c>
      <c r="AG106" s="92">
        <v>16.843687148376546</v>
      </c>
      <c r="AH106" s="92">
        <v>16.748182020384302</v>
      </c>
      <c r="AI106" s="338">
        <v>16.114000479781968</v>
      </c>
      <c r="AJ106" s="338">
        <f>AI106+(AK106-AI106)/2</f>
        <v>15.698181667672674</v>
      </c>
      <c r="AK106" s="338">
        <v>15.282362855563383</v>
      </c>
      <c r="AL106" s="338">
        <f>AK106+(AN106-AK106)/3</f>
        <v>14.726628611427099</v>
      </c>
      <c r="AM106" s="338">
        <f>AK106+(AN106-AK106)*2/3</f>
        <v>14.170894367290815</v>
      </c>
      <c r="AN106" s="338">
        <v>13.615160123154531</v>
      </c>
      <c r="AO106" s="338">
        <f>AN106+(AP106-AN106)/2</f>
        <v>13.079061576809849</v>
      </c>
      <c r="AP106" s="338">
        <v>12.542963030465165</v>
      </c>
    </row>
    <row r="107" spans="1:42">
      <c r="A107" s="100" t="s">
        <v>442</v>
      </c>
      <c r="B107" s="92">
        <v>7.2370595987552262</v>
      </c>
      <c r="C107" s="92">
        <v>6.8384498637023068</v>
      </c>
      <c r="D107" s="92">
        <v>6.2082583577095072</v>
      </c>
      <c r="E107" s="92">
        <v>5.4106989140457689</v>
      </c>
      <c r="F107" s="92">
        <v>5.1516374560016729</v>
      </c>
      <c r="G107" s="92">
        <v>4.4490382223553793</v>
      </c>
      <c r="H107" s="92">
        <v>4.2814490073731903</v>
      </c>
      <c r="I107" s="92">
        <v>4.1809161692024848</v>
      </c>
      <c r="J107" s="92">
        <v>4.0581129132639147</v>
      </c>
      <c r="K107" s="92">
        <v>3.9122447155966356</v>
      </c>
      <c r="L107" s="92">
        <v>3.3734571985404171</v>
      </c>
      <c r="M107" s="92">
        <v>3.2619654955204576</v>
      </c>
      <c r="N107" s="92">
        <v>3.0766964563822015</v>
      </c>
      <c r="O107" s="92">
        <v>2.9034993560512605</v>
      </c>
      <c r="P107" s="92">
        <v>2.8791856404180494</v>
      </c>
      <c r="Q107" s="92">
        <v>2.7593871932220289</v>
      </c>
      <c r="R107" s="92">
        <v>3.0748323193234897</v>
      </c>
      <c r="S107" s="92">
        <v>3.1749415870825812</v>
      </c>
      <c r="T107" s="92">
        <v>2.6756872516920098</v>
      </c>
      <c r="U107" s="92">
        <v>2.8404856973606942</v>
      </c>
      <c r="V107" s="92">
        <v>2.7741182980886143</v>
      </c>
      <c r="W107" s="92">
        <v>2.7305219642951331</v>
      </c>
      <c r="X107" s="92">
        <v>2.8952238412585483</v>
      </c>
      <c r="Y107" s="92">
        <v>2.8963982308780807</v>
      </c>
      <c r="Z107" s="92">
        <v>2.5172795220384643</v>
      </c>
      <c r="AA107" s="92">
        <v>2.8205503183395551</v>
      </c>
      <c r="AB107" s="92">
        <v>2.1933216052969122</v>
      </c>
      <c r="AC107" s="92">
        <v>2.6440802538290535</v>
      </c>
      <c r="AD107" s="92">
        <v>2.4222910124424168</v>
      </c>
      <c r="AE107" s="92">
        <v>2.486208792623259</v>
      </c>
      <c r="AF107" s="92">
        <v>2.1736161857660186</v>
      </c>
      <c r="AG107" s="92">
        <v>2.6607727160837125</v>
      </c>
      <c r="AH107" s="92">
        <v>2.911198931632704</v>
      </c>
      <c r="AI107" s="338">
        <v>4.6227080893060473</v>
      </c>
      <c r="AJ107" s="338">
        <f t="shared" ref="AJ107:AJ112" si="55">AI107+(AK107-AI107)/2</f>
        <v>5.4202317576960164</v>
      </c>
      <c r="AK107" s="338">
        <v>6.2177554260859855</v>
      </c>
      <c r="AL107" s="338">
        <f t="shared" ref="AL107:AL112" si="56">AK107+(AN107-AK107)/3</f>
        <v>6.0911942630035592</v>
      </c>
      <c r="AM107" s="338">
        <f t="shared" ref="AM107:AM112" si="57">AK107+(AN107-AK107)*2/3</f>
        <v>5.9646330999211328</v>
      </c>
      <c r="AN107" s="338">
        <v>5.8380719368387064</v>
      </c>
      <c r="AO107" s="338">
        <f t="shared" ref="AO107:AO112" si="58">AN107+(AP107-AN107)/2</f>
        <v>5.7125216952660507</v>
      </c>
      <c r="AP107" s="338">
        <v>5.586971453693395</v>
      </c>
    </row>
    <row r="108" spans="1:42">
      <c r="A108" s="100" t="s">
        <v>443</v>
      </c>
      <c r="B108" s="92">
        <v>9.7845324941479225E-2</v>
      </c>
      <c r="C108" s="92">
        <v>9.961775807322272E-2</v>
      </c>
      <c r="D108" s="92">
        <v>8.3819431988521681E-2</v>
      </c>
      <c r="E108" s="92">
        <v>7.4695734818238435E-2</v>
      </c>
      <c r="F108" s="92">
        <v>6.7288901218074654E-2</v>
      </c>
      <c r="G108" s="92">
        <v>5.7843420099034322E-2</v>
      </c>
      <c r="H108" s="92">
        <v>9.8102585251248695E-2</v>
      </c>
      <c r="I108" s="92">
        <v>0.19086054140212275</v>
      </c>
      <c r="J108" s="92">
        <v>0.33749117725535027</v>
      </c>
      <c r="K108" s="92">
        <v>0.45288694715341338</v>
      </c>
      <c r="L108" s="92">
        <v>0.28902988129472384</v>
      </c>
      <c r="M108" s="92">
        <v>0.43782968417750912</v>
      </c>
      <c r="N108" s="92">
        <v>0.38634599166012035</v>
      </c>
      <c r="O108" s="92">
        <v>0.38235756267394544</v>
      </c>
      <c r="P108" s="92">
        <v>0.35119158318171267</v>
      </c>
      <c r="Q108" s="92">
        <v>0.27701340319726453</v>
      </c>
      <c r="R108" s="92">
        <v>0.26151233155530329</v>
      </c>
      <c r="S108" s="92">
        <v>0.25286468842822996</v>
      </c>
      <c r="T108" s="92">
        <v>0.24841167485961393</v>
      </c>
      <c r="U108" s="92">
        <v>0.22125110562878619</v>
      </c>
      <c r="V108" s="92">
        <v>0.25796074679619091</v>
      </c>
      <c r="W108" s="92">
        <v>0.24423827420905811</v>
      </c>
      <c r="X108" s="92">
        <v>0.24414195305728925</v>
      </c>
      <c r="Y108" s="92">
        <v>0.21523810149619366</v>
      </c>
      <c r="Z108" s="92">
        <v>0.21760962795605779</v>
      </c>
      <c r="AA108" s="92">
        <v>0.19364615340669289</v>
      </c>
      <c r="AB108" s="92">
        <v>0.17473055602731569</v>
      </c>
      <c r="AC108" s="92">
        <v>0.15610443550831307</v>
      </c>
      <c r="AD108" s="92">
        <v>0.14225910460763311</v>
      </c>
      <c r="AE108" s="92">
        <v>0.13096128910470822</v>
      </c>
      <c r="AF108" s="92">
        <v>8.9803187103727686E-2</v>
      </c>
      <c r="AG108" s="92">
        <v>0.11249510103742888</v>
      </c>
      <c r="AH108" s="92">
        <v>0.10252763093632189</v>
      </c>
      <c r="AI108" s="338">
        <v>5.6459935830754558E-2</v>
      </c>
      <c r="AJ108" s="338">
        <f t="shared" si="55"/>
        <v>2.8229967915377279E-2</v>
      </c>
      <c r="AK108" s="338">
        <v>0</v>
      </c>
      <c r="AL108" s="338">
        <f t="shared" si="56"/>
        <v>0</v>
      </c>
      <c r="AM108" s="338">
        <f t="shared" si="57"/>
        <v>0</v>
      </c>
      <c r="AN108" s="338">
        <v>0</v>
      </c>
      <c r="AO108" s="338">
        <f t="shared" si="58"/>
        <v>0</v>
      </c>
      <c r="AP108" s="338">
        <v>0</v>
      </c>
    </row>
    <row r="109" spans="1:42">
      <c r="A109" s="100" t="s">
        <v>444</v>
      </c>
      <c r="B109" s="92">
        <v>1.435868082794058E-4</v>
      </c>
      <c r="C109" s="92">
        <v>1.7760027709617601E-4</v>
      </c>
      <c r="D109" s="92">
        <v>1.7022908321657497E-4</v>
      </c>
      <c r="E109" s="92">
        <v>1.1733969937924669E-3</v>
      </c>
      <c r="F109" s="92">
        <v>6.4285542364097973E-4</v>
      </c>
      <c r="G109" s="92">
        <v>3.6424913605364044E-4</v>
      </c>
      <c r="H109" s="92">
        <v>3.7758148147559766E-4</v>
      </c>
      <c r="I109" s="92">
        <v>2.5587525318438857E-4</v>
      </c>
      <c r="J109" s="92">
        <v>2.607821465452566E-4</v>
      </c>
      <c r="K109" s="92">
        <v>2.3948462933338655E-4</v>
      </c>
      <c r="L109" s="92">
        <v>3.2539969531100466E-4</v>
      </c>
      <c r="M109" s="92">
        <v>3.8073841446488363E-3</v>
      </c>
      <c r="N109" s="92">
        <v>7.4581627391847385E-3</v>
      </c>
      <c r="O109" s="92">
        <v>8.2616030755940668E-3</v>
      </c>
      <c r="P109" s="92">
        <v>8.9702614406681619E-3</v>
      </c>
      <c r="Q109" s="92">
        <v>1.0705188673261926E-2</v>
      </c>
      <c r="R109" s="92">
        <v>1.2842807120035087E-2</v>
      </c>
      <c r="S109" s="92">
        <v>1.1311868839726028E-2</v>
      </c>
      <c r="T109" s="92">
        <v>1.4229766247470212E-2</v>
      </c>
      <c r="U109" s="92">
        <v>1.2940508103968497E-2</v>
      </c>
      <c r="V109" s="92">
        <v>1.3067032094055837E-2</v>
      </c>
      <c r="W109" s="92">
        <v>2.6234970985393648E-2</v>
      </c>
      <c r="X109" s="92">
        <v>3.470766168156654E-2</v>
      </c>
      <c r="Y109" s="92">
        <v>3.5688067087930764E-2</v>
      </c>
      <c r="Z109" s="92">
        <v>2.7479442245142476E-2</v>
      </c>
      <c r="AA109" s="92">
        <v>2.7053056269366972E-2</v>
      </c>
      <c r="AB109" s="92">
        <v>1.8870922140339759E-2</v>
      </c>
      <c r="AC109" s="92">
        <v>1.3467090920249577E-2</v>
      </c>
      <c r="AD109" s="92">
        <v>1.1709108962948528E-2</v>
      </c>
      <c r="AE109" s="92">
        <v>1.2318434688610835E-2</v>
      </c>
      <c r="AF109" s="92">
        <v>1.0555443165266933E-2</v>
      </c>
      <c r="AG109" s="92">
        <v>1.4242487553552202E-2</v>
      </c>
      <c r="AH109" s="92">
        <v>1.3731618093886521E-2</v>
      </c>
      <c r="AI109" s="338">
        <v>1.0494771417387826E-2</v>
      </c>
      <c r="AJ109" s="338">
        <f t="shared" si="55"/>
        <v>1.0403201158520649E-2</v>
      </c>
      <c r="AK109" s="338">
        <v>1.0311630899653472E-2</v>
      </c>
      <c r="AL109" s="338">
        <f t="shared" si="56"/>
        <v>1.0184496962098159E-2</v>
      </c>
      <c r="AM109" s="338">
        <f t="shared" si="57"/>
        <v>1.0057363024542848E-2</v>
      </c>
      <c r="AN109" s="338">
        <v>9.9302290869875357E-3</v>
      </c>
      <c r="AO109" s="338">
        <f t="shared" si="58"/>
        <v>9.7981063750124525E-3</v>
      </c>
      <c r="AP109" s="338">
        <v>9.6659836630373711E-3</v>
      </c>
    </row>
    <row r="110" spans="1:42">
      <c r="A110" s="100" t="s">
        <v>445</v>
      </c>
      <c r="B110" s="92">
        <v>0</v>
      </c>
      <c r="C110" s="92">
        <v>0</v>
      </c>
      <c r="D110" s="92">
        <v>0</v>
      </c>
      <c r="E110" s="92">
        <v>0</v>
      </c>
      <c r="F110" s="92">
        <v>0</v>
      </c>
      <c r="G110" s="92">
        <v>0</v>
      </c>
      <c r="H110" s="92">
        <v>0</v>
      </c>
      <c r="I110" s="92">
        <v>0</v>
      </c>
      <c r="J110" s="92">
        <v>0</v>
      </c>
      <c r="K110" s="92">
        <v>0</v>
      </c>
      <c r="L110" s="92">
        <v>0</v>
      </c>
      <c r="M110" s="92">
        <v>0</v>
      </c>
      <c r="N110" s="92">
        <v>0</v>
      </c>
      <c r="O110" s="92">
        <v>0</v>
      </c>
      <c r="P110" s="92">
        <v>0</v>
      </c>
      <c r="Q110" s="92">
        <v>0</v>
      </c>
      <c r="R110" s="92">
        <v>0</v>
      </c>
      <c r="S110" s="92">
        <v>0</v>
      </c>
      <c r="T110" s="92">
        <v>0</v>
      </c>
      <c r="U110" s="92">
        <v>0</v>
      </c>
      <c r="V110" s="92">
        <v>0</v>
      </c>
      <c r="W110" s="92">
        <v>0</v>
      </c>
      <c r="X110" s="92">
        <v>0</v>
      </c>
      <c r="Y110" s="92">
        <v>0</v>
      </c>
      <c r="Z110" s="92">
        <v>0</v>
      </c>
      <c r="AA110" s="92">
        <v>0</v>
      </c>
      <c r="AB110" s="92">
        <v>0</v>
      </c>
      <c r="AC110" s="92">
        <v>0</v>
      </c>
      <c r="AD110" s="92">
        <v>0</v>
      </c>
      <c r="AE110" s="92">
        <v>0</v>
      </c>
      <c r="AF110" s="92">
        <v>0</v>
      </c>
      <c r="AG110" s="92">
        <v>0</v>
      </c>
      <c r="AH110" s="92">
        <v>0</v>
      </c>
      <c r="AI110" s="338">
        <v>0</v>
      </c>
      <c r="AJ110" s="338">
        <f t="shared" si="55"/>
        <v>0</v>
      </c>
      <c r="AK110" s="338">
        <v>0</v>
      </c>
      <c r="AL110" s="338">
        <f t="shared" si="56"/>
        <v>0</v>
      </c>
      <c r="AM110" s="338">
        <f t="shared" si="57"/>
        <v>0</v>
      </c>
      <c r="AN110" s="338">
        <v>0</v>
      </c>
      <c r="AO110" s="338">
        <f t="shared" si="58"/>
        <v>0</v>
      </c>
      <c r="AP110" s="338">
        <v>0</v>
      </c>
    </row>
    <row r="111" spans="1:42" ht="36">
      <c r="A111" s="100" t="s">
        <v>446</v>
      </c>
      <c r="B111" s="92">
        <v>26.900849598347911</v>
      </c>
      <c r="C111" s="92">
        <v>27.716460299400477</v>
      </c>
      <c r="D111" s="92">
        <v>28.917735383357936</v>
      </c>
      <c r="E111" s="92">
        <v>28.45919779293569</v>
      </c>
      <c r="F111" s="92">
        <v>29.286249026240061</v>
      </c>
      <c r="G111" s="92">
        <v>29.627357036430542</v>
      </c>
      <c r="H111" s="92">
        <v>29.842821176897651</v>
      </c>
      <c r="I111" s="92">
        <v>30.880123388017349</v>
      </c>
      <c r="J111" s="92">
        <v>31.288695157766625</v>
      </c>
      <c r="K111" s="92">
        <v>32.487142212776078</v>
      </c>
      <c r="L111" s="92">
        <v>32.676808151391036</v>
      </c>
      <c r="M111" s="92">
        <v>32.997619710660388</v>
      </c>
      <c r="N111" s="92">
        <v>33.237232887915013</v>
      </c>
      <c r="O111" s="92">
        <v>32.759696717913641</v>
      </c>
      <c r="P111" s="92">
        <v>33.977217586361874</v>
      </c>
      <c r="Q111" s="92">
        <v>33.719175335833576</v>
      </c>
      <c r="R111" s="92">
        <v>33.896903264831508</v>
      </c>
      <c r="S111" s="92">
        <v>33.592699380228858</v>
      </c>
      <c r="T111" s="92">
        <v>31.564239725067775</v>
      </c>
      <c r="U111" s="92">
        <v>30.200458975623658</v>
      </c>
      <c r="V111" s="92">
        <v>30.663052367227596</v>
      </c>
      <c r="W111" s="92">
        <v>31.462911834373863</v>
      </c>
      <c r="X111" s="92">
        <v>30.500093460513057</v>
      </c>
      <c r="Y111" s="92">
        <v>30.378552791810609</v>
      </c>
      <c r="Z111" s="92">
        <v>30.069759487429238</v>
      </c>
      <c r="AA111" s="92">
        <v>30.51882343746421</v>
      </c>
      <c r="AB111" s="92">
        <v>30.419189762104558</v>
      </c>
      <c r="AC111" s="92">
        <v>31.222381074126904</v>
      </c>
      <c r="AD111" s="92">
        <v>30.704947214623889</v>
      </c>
      <c r="AE111" s="92">
        <v>29.989259731294048</v>
      </c>
      <c r="AF111" s="92">
        <v>27.482438981595088</v>
      </c>
      <c r="AG111" s="92">
        <v>30.578673112023232</v>
      </c>
      <c r="AH111" s="92">
        <v>30.27434182361069</v>
      </c>
      <c r="AI111" s="348">
        <v>28.074200711674422</v>
      </c>
      <c r="AJ111" s="348">
        <v>27.081573728691811</v>
      </c>
      <c r="AK111" s="348">
        <v>26.088946745709201</v>
      </c>
      <c r="AL111" s="348">
        <v>24.706066191845743</v>
      </c>
      <c r="AM111" s="348">
        <v>23.323185637982277</v>
      </c>
      <c r="AN111" s="348">
        <v>21.940305084118815</v>
      </c>
      <c r="AO111" s="348">
        <v>20.585939254113701</v>
      </c>
      <c r="AP111" s="348">
        <v>19.231573424108582</v>
      </c>
    </row>
    <row r="112" spans="1:42" ht="36">
      <c r="A112" s="100" t="s">
        <v>447</v>
      </c>
      <c r="B112" s="92">
        <v>0</v>
      </c>
      <c r="C112" s="92">
        <v>0</v>
      </c>
      <c r="D112" s="92">
        <v>0</v>
      </c>
      <c r="E112" s="92">
        <v>0</v>
      </c>
      <c r="F112" s="92">
        <v>0</v>
      </c>
      <c r="G112" s="92">
        <v>0</v>
      </c>
      <c r="H112" s="92">
        <v>0</v>
      </c>
      <c r="I112" s="92">
        <v>0</v>
      </c>
      <c r="J112" s="92">
        <v>0</v>
      </c>
      <c r="K112" s="92">
        <v>0</v>
      </c>
      <c r="L112" s="92">
        <v>0</v>
      </c>
      <c r="M112" s="92">
        <v>0</v>
      </c>
      <c r="N112" s="92">
        <v>0</v>
      </c>
      <c r="O112" s="92">
        <v>0</v>
      </c>
      <c r="P112" s="92">
        <v>0</v>
      </c>
      <c r="Q112" s="92">
        <v>0</v>
      </c>
      <c r="R112" s="92">
        <v>0</v>
      </c>
      <c r="S112" s="92">
        <v>0</v>
      </c>
      <c r="T112" s="92">
        <v>0</v>
      </c>
      <c r="U112" s="92">
        <v>0</v>
      </c>
      <c r="V112" s="92">
        <v>0</v>
      </c>
      <c r="W112" s="92">
        <v>0</v>
      </c>
      <c r="X112" s="92">
        <v>0</v>
      </c>
      <c r="Y112" s="92">
        <v>0</v>
      </c>
      <c r="Z112" s="92">
        <v>0</v>
      </c>
      <c r="AA112" s="92">
        <v>0</v>
      </c>
      <c r="AB112" s="92">
        <v>0</v>
      </c>
      <c r="AC112" s="92">
        <v>0</v>
      </c>
      <c r="AD112" s="92">
        <v>0</v>
      </c>
      <c r="AE112" s="92">
        <v>0</v>
      </c>
      <c r="AF112" s="92">
        <v>0</v>
      </c>
      <c r="AG112" s="92">
        <v>0</v>
      </c>
      <c r="AH112" s="92">
        <v>0</v>
      </c>
      <c r="AI112" s="338">
        <v>6.7168751826196863E-4</v>
      </c>
      <c r="AJ112" s="338">
        <f t="shared" si="55"/>
        <v>7.1155383094346938E-4</v>
      </c>
      <c r="AK112" s="338">
        <v>7.5142014362497025E-4</v>
      </c>
      <c r="AL112" s="338">
        <f t="shared" si="56"/>
        <v>7.3339951218170647E-4</v>
      </c>
      <c r="AM112" s="338">
        <f t="shared" si="57"/>
        <v>7.153788807384427E-4</v>
      </c>
      <c r="AN112" s="338">
        <v>6.9735824929517893E-4</v>
      </c>
      <c r="AO112" s="338">
        <f t="shared" si="58"/>
        <v>6.6475989231982037E-4</v>
      </c>
      <c r="AP112" s="338">
        <v>6.321615353444618E-4</v>
      </c>
    </row>
    <row r="113" spans="1:42" ht="36">
      <c r="A113" s="100" t="s">
        <v>448</v>
      </c>
      <c r="B113" s="92">
        <v>0</v>
      </c>
      <c r="C113" s="92">
        <v>0</v>
      </c>
      <c r="D113" s="92">
        <v>0</v>
      </c>
      <c r="E113" s="92">
        <v>0</v>
      </c>
      <c r="F113" s="92">
        <v>0</v>
      </c>
      <c r="G113" s="92">
        <v>0</v>
      </c>
      <c r="H113" s="92">
        <v>0</v>
      </c>
      <c r="I113" s="92">
        <v>0</v>
      </c>
      <c r="J113" s="92">
        <v>0</v>
      </c>
      <c r="K113" s="92">
        <v>0</v>
      </c>
      <c r="L113" s="92">
        <v>0</v>
      </c>
      <c r="M113" s="92">
        <v>0</v>
      </c>
      <c r="N113" s="92">
        <v>0</v>
      </c>
      <c r="O113" s="92">
        <v>0</v>
      </c>
      <c r="P113" s="92">
        <v>0</v>
      </c>
      <c r="Q113" s="92">
        <v>0</v>
      </c>
      <c r="R113" s="92">
        <v>0</v>
      </c>
      <c r="S113" s="92">
        <v>0</v>
      </c>
      <c r="T113" s="92">
        <v>0</v>
      </c>
      <c r="U113" s="92">
        <v>0</v>
      </c>
      <c r="V113" s="92">
        <v>0</v>
      </c>
      <c r="W113" s="92">
        <v>0</v>
      </c>
      <c r="X113" s="92">
        <v>0</v>
      </c>
      <c r="Y113" s="92">
        <v>0</v>
      </c>
      <c r="Z113" s="92">
        <v>0</v>
      </c>
      <c r="AA113" s="92">
        <v>0</v>
      </c>
      <c r="AB113" s="92">
        <v>0</v>
      </c>
      <c r="AC113" s="92">
        <v>0</v>
      </c>
      <c r="AD113" s="92">
        <v>0</v>
      </c>
      <c r="AE113" s="92">
        <v>0</v>
      </c>
      <c r="AF113" s="92">
        <v>0</v>
      </c>
      <c r="AG113" s="92">
        <v>0</v>
      </c>
      <c r="AH113" s="92">
        <v>0</v>
      </c>
      <c r="AI113" s="201">
        <v>0.18515001205836623</v>
      </c>
      <c r="AJ113" s="201">
        <v>0.37030002411673246</v>
      </c>
      <c r="AK113" s="201">
        <v>0.55545003617509869</v>
      </c>
      <c r="AL113" s="201">
        <v>0.62644141796070496</v>
      </c>
      <c r="AM113" s="201">
        <v>0.69743279974631123</v>
      </c>
      <c r="AN113" s="201">
        <v>0.76842418153191749</v>
      </c>
      <c r="AO113" s="201">
        <v>0.83941556331752365</v>
      </c>
      <c r="AP113" s="201">
        <v>0.91040694510312992</v>
      </c>
    </row>
    <row r="114" spans="1:42" ht="36">
      <c r="A114" s="100" t="s">
        <v>449</v>
      </c>
      <c r="B114" s="92">
        <v>0</v>
      </c>
      <c r="C114" s="92">
        <v>0</v>
      </c>
      <c r="D114" s="92">
        <v>0</v>
      </c>
      <c r="E114" s="92">
        <v>0</v>
      </c>
      <c r="F114" s="92">
        <v>0</v>
      </c>
      <c r="G114" s="92">
        <v>0</v>
      </c>
      <c r="H114" s="92">
        <v>0</v>
      </c>
      <c r="I114" s="92">
        <v>0</v>
      </c>
      <c r="J114" s="92">
        <v>0</v>
      </c>
      <c r="K114" s="92">
        <v>0</v>
      </c>
      <c r="L114" s="92">
        <v>0</v>
      </c>
      <c r="M114" s="92">
        <v>0</v>
      </c>
      <c r="N114" s="92">
        <v>0</v>
      </c>
      <c r="O114" s="92">
        <v>0</v>
      </c>
      <c r="P114" s="92">
        <v>0</v>
      </c>
      <c r="Q114" s="92">
        <v>0</v>
      </c>
      <c r="R114" s="92">
        <v>0</v>
      </c>
      <c r="S114" s="92">
        <v>0</v>
      </c>
      <c r="T114" s="92">
        <v>0</v>
      </c>
      <c r="U114" s="92">
        <v>0</v>
      </c>
      <c r="V114" s="92">
        <v>0</v>
      </c>
      <c r="W114" s="92">
        <v>0</v>
      </c>
      <c r="X114" s="92">
        <v>0</v>
      </c>
      <c r="Y114" s="92">
        <v>0</v>
      </c>
      <c r="Z114" s="92">
        <v>0</v>
      </c>
      <c r="AA114" s="92">
        <v>0</v>
      </c>
      <c r="AB114" s="92">
        <v>0</v>
      </c>
      <c r="AC114" s="92">
        <v>0</v>
      </c>
      <c r="AD114" s="92">
        <v>0</v>
      </c>
      <c r="AE114" s="92">
        <v>0</v>
      </c>
      <c r="AF114" s="92">
        <v>0</v>
      </c>
      <c r="AG114" s="92">
        <v>0</v>
      </c>
      <c r="AH114" s="92">
        <v>0</v>
      </c>
      <c r="AI114" s="92">
        <v>0</v>
      </c>
      <c r="AJ114" s="92">
        <v>0</v>
      </c>
      <c r="AK114" s="92">
        <v>0</v>
      </c>
      <c r="AL114" s="92">
        <v>0</v>
      </c>
      <c r="AM114" s="92">
        <v>0</v>
      </c>
      <c r="AN114" s="92">
        <v>0</v>
      </c>
      <c r="AO114" s="92">
        <v>0</v>
      </c>
      <c r="AP114" s="92">
        <v>0</v>
      </c>
    </row>
    <row r="115" spans="1:42" ht="24">
      <c r="A115" s="100" t="s">
        <v>450</v>
      </c>
      <c r="B115" s="92">
        <v>2.1118637719558784</v>
      </c>
      <c r="C115" s="92">
        <v>2.2853680927271078</v>
      </c>
      <c r="D115" s="92">
        <v>2.3426916959529409</v>
      </c>
      <c r="E115" s="92">
        <v>2.4363469889524887</v>
      </c>
      <c r="F115" s="92">
        <v>2.4188057253346655</v>
      </c>
      <c r="G115" s="92">
        <v>2.3774556117821457</v>
      </c>
      <c r="H115" s="92">
        <v>2.4254856818185369</v>
      </c>
      <c r="I115" s="92">
        <v>2.471358646384163</v>
      </c>
      <c r="J115" s="92">
        <v>2.4603349461990009</v>
      </c>
      <c r="K115" s="92">
        <v>2.3695622248295352</v>
      </c>
      <c r="L115" s="92">
        <v>2.4125481393500969</v>
      </c>
      <c r="M115" s="92">
        <v>2.3627811516479635</v>
      </c>
      <c r="N115" s="92">
        <v>2.3357724572777459</v>
      </c>
      <c r="O115" s="92">
        <v>2.3773850488912101</v>
      </c>
      <c r="P115" s="92">
        <v>2.4087975703717901</v>
      </c>
      <c r="Q115" s="92">
        <v>2.4633233037636613</v>
      </c>
      <c r="R115" s="92">
        <v>2.4992737023207039</v>
      </c>
      <c r="S115" s="92">
        <v>2.5386428175238183</v>
      </c>
      <c r="T115" s="92">
        <v>2.5751683377269492</v>
      </c>
      <c r="U115" s="92">
        <v>2.5763839202582015</v>
      </c>
      <c r="V115" s="92">
        <v>2.61428422699545</v>
      </c>
      <c r="W115" s="92">
        <v>2.6385187953959446</v>
      </c>
      <c r="X115" s="92">
        <v>2.6374561162154029</v>
      </c>
      <c r="Y115" s="92">
        <v>2.6767982174377263</v>
      </c>
      <c r="Z115" s="92">
        <v>2.6555627250721079</v>
      </c>
      <c r="AA115" s="92">
        <v>2.6660344267741558</v>
      </c>
      <c r="AB115" s="92">
        <v>2.6539793044173874</v>
      </c>
      <c r="AC115" s="92">
        <v>2.5944020533778245</v>
      </c>
      <c r="AD115" s="92">
        <v>2.5237531976860317</v>
      </c>
      <c r="AE115" s="203">
        <v>2.4513261528598673</v>
      </c>
      <c r="AF115" s="92">
        <v>1.7675006483820079</v>
      </c>
      <c r="AG115" s="92">
        <v>1.9257031669426989</v>
      </c>
      <c r="AH115" s="92">
        <v>2.0897012148647294</v>
      </c>
      <c r="AI115" s="201">
        <f>AH115+(AK115-AH115)/3</f>
        <v>2.1320377802940853</v>
      </c>
      <c r="AJ115" s="201">
        <f>AH115+(AK115-AH115)*2/3</f>
        <v>2.1743743457234408</v>
      </c>
      <c r="AK115" s="201">
        <f>1/(2.60093415091644/$AE$115)*2.352</f>
        <v>2.2167109111527967</v>
      </c>
      <c r="AL115" s="201">
        <f t="shared" ref="AL115" si="59">AK115+(AP115-AK115)*1/5</f>
        <v>2.1475329430921608</v>
      </c>
      <c r="AM115" s="201">
        <f t="shared" ref="AM115" si="60">AK115+(AP115-AK115)*2/5</f>
        <v>2.0783549750315253</v>
      </c>
      <c r="AN115" s="201">
        <f>AK115+(AP115-AK115)*3/5</f>
        <v>2.0091770069708899</v>
      </c>
      <c r="AO115" s="201">
        <f>AK115+(AP115-AK115)*4/5</f>
        <v>1.9399990389102539</v>
      </c>
      <c r="AP115" s="201">
        <f>1/(2.60093415091644/$AE$115)*1.985</f>
        <v>1.8708210708496182</v>
      </c>
    </row>
    <row r="116" spans="1:42" ht="24">
      <c r="A116" s="100" t="s">
        <v>451</v>
      </c>
      <c r="B116" s="92">
        <v>2.7016819993363273E-3</v>
      </c>
      <c r="C116" s="92">
        <v>2.7083557709773041E-3</v>
      </c>
      <c r="D116" s="92">
        <v>2.7060439834222564E-3</v>
      </c>
      <c r="E116" s="92">
        <v>2.705110296358699E-3</v>
      </c>
      <c r="F116" s="92">
        <v>2.8747005274458231E-3</v>
      </c>
      <c r="G116" s="92">
        <v>2.8917340898494781E-3</v>
      </c>
      <c r="H116" s="92">
        <v>2.8220517483748884E-3</v>
      </c>
      <c r="I116" s="92">
        <v>2.8361355985920124E-3</v>
      </c>
      <c r="J116" s="92">
        <v>3.0067566651959324E-3</v>
      </c>
      <c r="K116" s="92">
        <v>3.7151439432735168E-3</v>
      </c>
      <c r="L116" s="92">
        <v>4.3749827359162614E-3</v>
      </c>
      <c r="M116" s="92">
        <v>4.5815075337610426E-3</v>
      </c>
      <c r="N116" s="92">
        <v>4.2146597721327414E-3</v>
      </c>
      <c r="O116" s="92">
        <v>3.9792582250318346E-3</v>
      </c>
      <c r="P116" s="92">
        <v>3.535071409591378E-3</v>
      </c>
      <c r="Q116" s="92">
        <v>3.0914876620808918E-3</v>
      </c>
      <c r="R116" s="92">
        <v>3.2642734773065266E-3</v>
      </c>
      <c r="S116" s="92">
        <v>3.1332262495796827E-3</v>
      </c>
      <c r="T116" s="92">
        <v>2.6352680148481003E-3</v>
      </c>
      <c r="U116" s="92">
        <v>2.5303234803277269E-3</v>
      </c>
      <c r="V116" s="92">
        <v>2.1387498820261267E-3</v>
      </c>
      <c r="W116" s="92">
        <v>1.753809855977535E-3</v>
      </c>
      <c r="X116" s="92">
        <v>1.6568667965376727E-3</v>
      </c>
      <c r="Y116" s="92">
        <v>1.6992589442838464E-3</v>
      </c>
      <c r="Z116" s="92">
        <v>1.4677000681099636E-3</v>
      </c>
      <c r="AA116" s="92">
        <v>1.684074573774217E-3</v>
      </c>
      <c r="AB116" s="92">
        <v>1.6538918552096349E-3</v>
      </c>
      <c r="AC116" s="92">
        <v>1.6339025147666499E-3</v>
      </c>
      <c r="AD116" s="92">
        <v>1.6708629520279421E-3</v>
      </c>
      <c r="AE116" s="92">
        <v>1.0474242184368627E-3</v>
      </c>
      <c r="AF116" s="92">
        <v>1.1651326263410306E-3</v>
      </c>
      <c r="AG116" s="92">
        <v>1.2025272143181998E-3</v>
      </c>
      <c r="AH116" s="92">
        <v>1.3108257012527905E-3</v>
      </c>
      <c r="AI116" s="201">
        <v>1.3108257012527905E-3</v>
      </c>
      <c r="AJ116" s="201">
        <v>1.3108257012527905E-3</v>
      </c>
      <c r="AK116" s="201">
        <v>1.3108257012527905E-3</v>
      </c>
      <c r="AL116" s="201">
        <v>1.3108257012527905E-3</v>
      </c>
      <c r="AM116" s="201">
        <v>1.3108257012527905E-3</v>
      </c>
      <c r="AN116" s="201">
        <v>1.31082570125279E-3</v>
      </c>
      <c r="AO116" s="201">
        <v>1.31082570125279E-3</v>
      </c>
      <c r="AP116" s="201">
        <v>1.31082570125279E-3</v>
      </c>
    </row>
    <row r="117" spans="1:42">
      <c r="A117" s="100" t="s">
        <v>452</v>
      </c>
      <c r="B117" s="92">
        <v>2.9318280618961101E-4</v>
      </c>
      <c r="C117" s="92">
        <v>2.8312909903499485E-4</v>
      </c>
      <c r="D117" s="92">
        <v>2.8432268532487909E-4</v>
      </c>
      <c r="E117" s="92">
        <v>2.086986094248189E-3</v>
      </c>
      <c r="F117" s="92">
        <v>1.2193988915114838E-3</v>
      </c>
      <c r="G117" s="92">
        <v>7.9403658390091387E-4</v>
      </c>
      <c r="H117" s="92">
        <v>7.8082959859558264E-4</v>
      </c>
      <c r="I117" s="92">
        <v>6.1434742364646687E-4</v>
      </c>
      <c r="J117" s="92">
        <v>6.0895128314521424E-4</v>
      </c>
      <c r="K117" s="92">
        <v>6.1602992686809631E-4</v>
      </c>
      <c r="L117" s="92">
        <v>1.2937466446568701E-3</v>
      </c>
      <c r="M117" s="92">
        <v>1.8204397391371349E-2</v>
      </c>
      <c r="N117" s="92">
        <v>1.8238320541745304E-2</v>
      </c>
      <c r="O117" s="92">
        <v>2.7837773374759279E-2</v>
      </c>
      <c r="P117" s="92">
        <v>3.1346106538289085E-2</v>
      </c>
      <c r="Q117" s="92">
        <v>3.2166432193005072E-2</v>
      </c>
      <c r="R117" s="92">
        <v>4.3164101492089081E-2</v>
      </c>
      <c r="S117" s="92">
        <v>5.2232796976125914E-2</v>
      </c>
      <c r="T117" s="92">
        <v>6.3416494727704636E-2</v>
      </c>
      <c r="U117" s="92">
        <v>6.3722973158366628E-2</v>
      </c>
      <c r="V117" s="92">
        <v>6.7650996150604825E-2</v>
      </c>
      <c r="W117" s="92">
        <v>0.15330890914490747</v>
      </c>
      <c r="X117" s="92">
        <v>0.16710653147855009</v>
      </c>
      <c r="Y117" s="92">
        <v>0.19073452723861703</v>
      </c>
      <c r="Z117" s="92">
        <v>0.22543524418509622</v>
      </c>
      <c r="AA117" s="92">
        <v>0.23919361448555393</v>
      </c>
      <c r="AB117" s="92">
        <v>0.26525327805520593</v>
      </c>
      <c r="AC117" s="92">
        <v>0.29851037580847989</v>
      </c>
      <c r="AD117" s="92">
        <v>0.35577042683913185</v>
      </c>
      <c r="AE117" s="92">
        <v>0.43488543259954243</v>
      </c>
      <c r="AF117" s="92">
        <v>0.5262280278610747</v>
      </c>
      <c r="AG117" s="92">
        <v>0.71913322193020301</v>
      </c>
      <c r="AH117" s="92">
        <v>0.70849926651427619</v>
      </c>
      <c r="AI117" s="201">
        <v>0.57563653889450073</v>
      </c>
      <c r="AJ117" s="201">
        <v>0.43736250995593073</v>
      </c>
      <c r="AK117" s="201">
        <v>0.29908848101736074</v>
      </c>
      <c r="AL117" s="201">
        <v>0.30306142267305713</v>
      </c>
      <c r="AM117" s="201">
        <v>0.30703436432875364</v>
      </c>
      <c r="AN117" s="201">
        <v>0.31100730598445003</v>
      </c>
      <c r="AO117" s="201">
        <v>0.30723814384274684</v>
      </c>
      <c r="AP117" s="201">
        <v>0.30346898170104331</v>
      </c>
    </row>
    <row r="118" spans="1:42" ht="24">
      <c r="A118" s="100" t="s">
        <v>453</v>
      </c>
      <c r="B118" s="92">
        <v>0</v>
      </c>
      <c r="C118" s="92">
        <v>0</v>
      </c>
      <c r="D118" s="92">
        <v>0</v>
      </c>
      <c r="E118" s="92">
        <v>0</v>
      </c>
      <c r="F118" s="92">
        <v>0</v>
      </c>
      <c r="G118" s="92">
        <v>0</v>
      </c>
      <c r="H118" s="92">
        <v>0</v>
      </c>
      <c r="I118" s="92">
        <v>0</v>
      </c>
      <c r="J118" s="92">
        <v>0</v>
      </c>
      <c r="K118" s="92">
        <v>0</v>
      </c>
      <c r="L118" s="92">
        <v>0</v>
      </c>
      <c r="M118" s="92">
        <v>0</v>
      </c>
      <c r="N118" s="92">
        <v>0</v>
      </c>
      <c r="O118" s="92">
        <v>0</v>
      </c>
      <c r="P118" s="92">
        <v>0</v>
      </c>
      <c r="Q118" s="92">
        <v>0</v>
      </c>
      <c r="R118" s="92">
        <v>0</v>
      </c>
      <c r="S118" s="92">
        <v>0</v>
      </c>
      <c r="T118" s="92">
        <v>0</v>
      </c>
      <c r="U118" s="92">
        <v>0</v>
      </c>
      <c r="V118" s="92">
        <v>0</v>
      </c>
      <c r="W118" s="92">
        <v>0</v>
      </c>
      <c r="X118" s="92">
        <v>0</v>
      </c>
      <c r="Y118" s="92">
        <v>0</v>
      </c>
      <c r="Z118" s="92">
        <v>0</v>
      </c>
      <c r="AA118" s="92">
        <v>0</v>
      </c>
      <c r="AB118" s="92">
        <v>0</v>
      </c>
      <c r="AC118" s="92">
        <v>0</v>
      </c>
      <c r="AD118" s="92">
        <v>0</v>
      </c>
      <c r="AE118" s="92">
        <v>0</v>
      </c>
      <c r="AF118" s="92">
        <v>0</v>
      </c>
      <c r="AG118" s="92">
        <v>0</v>
      </c>
      <c r="AH118" s="92">
        <v>0</v>
      </c>
      <c r="AI118" s="201">
        <v>0</v>
      </c>
      <c r="AJ118" s="201">
        <v>0</v>
      </c>
      <c r="AK118" s="201">
        <v>0</v>
      </c>
      <c r="AL118" s="201">
        <v>0</v>
      </c>
      <c r="AM118" s="201">
        <v>0</v>
      </c>
      <c r="AN118" s="201">
        <v>0</v>
      </c>
      <c r="AO118" s="201">
        <v>0</v>
      </c>
      <c r="AP118" s="201">
        <v>0</v>
      </c>
    </row>
    <row r="119" spans="1:42" ht="24">
      <c r="A119" s="100" t="s">
        <v>454</v>
      </c>
      <c r="B119" s="92">
        <v>0.65949519870690965</v>
      </c>
      <c r="C119" s="92">
        <v>0.66861303664994165</v>
      </c>
      <c r="D119" s="92">
        <v>0.68730313757956774</v>
      </c>
      <c r="E119" s="92">
        <v>0.85875365955880834</v>
      </c>
      <c r="F119" s="92">
        <v>0.75066761572837604</v>
      </c>
      <c r="G119" s="92">
        <v>0.65317757314192559</v>
      </c>
      <c r="H119" s="92">
        <v>0.65282318331162592</v>
      </c>
      <c r="I119" s="92">
        <v>0.78980600071295282</v>
      </c>
      <c r="J119" s="92">
        <v>0.97054165418010052</v>
      </c>
      <c r="K119" s="92">
        <v>0.99357565047754215</v>
      </c>
      <c r="L119" s="92">
        <v>1.0747143249963813</v>
      </c>
      <c r="M119" s="92">
        <v>1.1531336963964589</v>
      </c>
      <c r="N119" s="92">
        <v>1.246068632895633</v>
      </c>
      <c r="O119" s="92">
        <v>1.2254230101331627</v>
      </c>
      <c r="P119" s="92">
        <v>1.2825625995216789</v>
      </c>
      <c r="Q119" s="92">
        <v>1.288458486177984</v>
      </c>
      <c r="R119" s="92">
        <v>1.2608900730799741</v>
      </c>
      <c r="S119" s="92">
        <v>1.260983184014578</v>
      </c>
      <c r="T119" s="92">
        <v>1.2735350590605345</v>
      </c>
      <c r="U119" s="92">
        <v>1.3217947366851073</v>
      </c>
      <c r="V119" s="92">
        <v>1.2934053559393139</v>
      </c>
      <c r="W119" s="92">
        <v>1.3035357665225538</v>
      </c>
      <c r="X119" s="92">
        <v>1.2920819103619121</v>
      </c>
      <c r="Y119" s="92">
        <v>1.2892741801037542</v>
      </c>
      <c r="Z119" s="92">
        <v>1.2895171204758189</v>
      </c>
      <c r="AA119" s="92">
        <v>1.2943919291989849</v>
      </c>
      <c r="AB119" s="92">
        <v>1.3032748249457686</v>
      </c>
      <c r="AC119" s="92">
        <v>1.2948498227409424</v>
      </c>
      <c r="AD119" s="92">
        <v>1.2915353791480355</v>
      </c>
      <c r="AE119" s="92">
        <v>1.2920871871584709</v>
      </c>
      <c r="AF119" s="92">
        <v>1.0832191663741157</v>
      </c>
      <c r="AG119" s="92">
        <v>1.0963848589327261</v>
      </c>
      <c r="AH119" s="92">
        <v>1.2098129312211499</v>
      </c>
      <c r="AI119" s="338">
        <v>1.0693341065330937</v>
      </c>
      <c r="AJ119" s="338">
        <f>AI119+(AK119-AI119)/2</f>
        <v>1.0531191484287556</v>
      </c>
      <c r="AK119" s="338">
        <v>1.0369041903244176</v>
      </c>
      <c r="AL119" s="338">
        <f>AK119+(AN119-AK119)/3</f>
        <v>0.9872743174189339</v>
      </c>
      <c r="AM119" s="338">
        <f>AK119+(AN119-AK119)*2/3</f>
        <v>0.93764444451345008</v>
      </c>
      <c r="AN119" s="338">
        <v>0.88801457160796637</v>
      </c>
      <c r="AO119" s="338">
        <f>AN119+(AP119-AN119)/2</f>
        <v>0.83755847663711835</v>
      </c>
      <c r="AP119" s="338">
        <v>0.78710238166627033</v>
      </c>
    </row>
    <row r="120" spans="1:42" ht="24">
      <c r="A120" s="100" t="s">
        <v>455</v>
      </c>
      <c r="B120" s="92">
        <v>0</v>
      </c>
      <c r="C120" s="92">
        <v>0</v>
      </c>
      <c r="D120" s="92">
        <v>5.7454089669656226E-3</v>
      </c>
      <c r="E120" s="92">
        <v>1.5754871491649246E-2</v>
      </c>
      <c r="F120" s="92">
        <v>2.3725555807461159E-2</v>
      </c>
      <c r="G120" s="92">
        <v>3.1785180170224116E-2</v>
      </c>
      <c r="H120" s="92">
        <v>3.9250436649561377E-2</v>
      </c>
      <c r="I120" s="92">
        <v>4.6545765711984079E-2</v>
      </c>
      <c r="J120" s="92">
        <v>5.1648882125598462E-2</v>
      </c>
      <c r="K120" s="92">
        <v>5.5331496283394462E-2</v>
      </c>
      <c r="L120" s="92">
        <v>5.669140137315886E-2</v>
      </c>
      <c r="M120" s="92">
        <v>5.7852149646620679E-2</v>
      </c>
      <c r="N120" s="92">
        <v>5.8109400250614014E-2</v>
      </c>
      <c r="O120" s="92">
        <v>5.723049065147591E-2</v>
      </c>
      <c r="P120" s="92">
        <v>5.5750612969941743E-2</v>
      </c>
      <c r="Q120" s="92">
        <v>5.5596462824010741E-2</v>
      </c>
      <c r="R120" s="92">
        <v>5.8201726097710439E-2</v>
      </c>
      <c r="S120" s="92">
        <v>6.230189798388551E-2</v>
      </c>
      <c r="T120" s="92">
        <v>6.767607496520392E-2</v>
      </c>
      <c r="U120" s="92">
        <v>7.4471924397277456E-2</v>
      </c>
      <c r="V120" s="92">
        <v>8.2228444347707666E-2</v>
      </c>
      <c r="W120" s="92">
        <v>8.7999352963080951E-2</v>
      </c>
      <c r="X120" s="92">
        <v>9.3456877075697692E-2</v>
      </c>
      <c r="Y120" s="92">
        <v>9.1837364930738838E-2</v>
      </c>
      <c r="Z120" s="92">
        <v>8.6863184622847284E-2</v>
      </c>
      <c r="AA120" s="92">
        <v>8.4557761037938509E-2</v>
      </c>
      <c r="AB120" s="92">
        <v>8.1384413110007298E-2</v>
      </c>
      <c r="AC120" s="92">
        <v>8.1988595889960866E-2</v>
      </c>
      <c r="AD120" s="92">
        <v>8.329860215853685E-2</v>
      </c>
      <c r="AE120" s="92">
        <v>8.3827961254907019E-2</v>
      </c>
      <c r="AF120" s="92">
        <v>8.3404788862302667E-2</v>
      </c>
      <c r="AG120" s="92">
        <v>8.4050088425254063E-2</v>
      </c>
      <c r="AH120" s="92">
        <v>8.3658691823638096E-2</v>
      </c>
      <c r="AI120" s="338">
        <v>8.7461041734387568E-2</v>
      </c>
      <c r="AJ120" s="338">
        <f t="shared" ref="AJ120:AJ123" si="61">AI120+(AK120-AI120)/2</f>
        <v>8.9531422355829823E-2</v>
      </c>
      <c r="AK120" s="338">
        <v>9.1601802977272079E-2</v>
      </c>
      <c r="AL120" s="338">
        <f t="shared" ref="AL120:AL123" si="62">AK120+(AN120-AK120)/3</f>
        <v>9.0944084280844925E-2</v>
      </c>
      <c r="AM120" s="338">
        <f t="shared" ref="AM120:AM123" si="63">AK120+(AN120-AK120)*2/3</f>
        <v>9.0286365584417758E-2</v>
      </c>
      <c r="AN120" s="338">
        <v>8.9628646887990604E-2</v>
      </c>
      <c r="AO120" s="338">
        <f t="shared" ref="AO120:AO123" si="64">AN120+(AP120-AN120)/2</f>
        <v>8.6019581773193465E-2</v>
      </c>
      <c r="AP120" s="338">
        <v>8.2410516658396327E-2</v>
      </c>
    </row>
    <row r="121" spans="1:42" ht="24">
      <c r="A121" s="100" t="s">
        <v>456</v>
      </c>
      <c r="B121" s="92">
        <v>0</v>
      </c>
      <c r="C121" s="92">
        <v>0</v>
      </c>
      <c r="D121" s="92">
        <v>0</v>
      </c>
      <c r="E121" s="92">
        <v>0</v>
      </c>
      <c r="F121" s="92">
        <v>0</v>
      </c>
      <c r="G121" s="92">
        <v>0</v>
      </c>
      <c r="H121" s="92">
        <v>0</v>
      </c>
      <c r="I121" s="92">
        <v>0</v>
      </c>
      <c r="J121" s="92">
        <v>0</v>
      </c>
      <c r="K121" s="92">
        <v>0</v>
      </c>
      <c r="L121" s="92">
        <v>0</v>
      </c>
      <c r="M121" s="92">
        <v>0</v>
      </c>
      <c r="N121" s="92">
        <v>0</v>
      </c>
      <c r="O121" s="92">
        <v>0</v>
      </c>
      <c r="P121" s="92">
        <v>0</v>
      </c>
      <c r="Q121" s="92">
        <v>0</v>
      </c>
      <c r="R121" s="92">
        <v>0</v>
      </c>
      <c r="S121" s="92">
        <v>0</v>
      </c>
      <c r="T121" s="92">
        <v>0</v>
      </c>
      <c r="U121" s="92">
        <v>0</v>
      </c>
      <c r="V121" s="92">
        <v>0</v>
      </c>
      <c r="W121" s="92">
        <v>0</v>
      </c>
      <c r="X121" s="92">
        <v>0</v>
      </c>
      <c r="Y121" s="92">
        <v>0</v>
      </c>
      <c r="Z121" s="92">
        <v>0</v>
      </c>
      <c r="AA121" s="92">
        <v>0</v>
      </c>
      <c r="AB121" s="92">
        <v>0</v>
      </c>
      <c r="AC121" s="92">
        <v>0</v>
      </c>
      <c r="AD121" s="92">
        <v>0</v>
      </c>
      <c r="AE121" s="92">
        <v>0</v>
      </c>
      <c r="AF121" s="92">
        <v>0</v>
      </c>
      <c r="AG121" s="92">
        <v>0</v>
      </c>
      <c r="AH121" s="92">
        <v>0</v>
      </c>
      <c r="AI121" s="338">
        <v>0</v>
      </c>
      <c r="AJ121" s="338">
        <f t="shared" si="61"/>
        <v>0</v>
      </c>
      <c r="AK121" s="338">
        <v>0</v>
      </c>
      <c r="AL121" s="338">
        <f t="shared" si="62"/>
        <v>0</v>
      </c>
      <c r="AM121" s="338">
        <f t="shared" si="63"/>
        <v>0</v>
      </c>
      <c r="AN121" s="338">
        <v>0</v>
      </c>
      <c r="AO121" s="338">
        <f t="shared" si="64"/>
        <v>0</v>
      </c>
      <c r="AP121" s="338">
        <v>0</v>
      </c>
    </row>
    <row r="122" spans="1:42">
      <c r="A122" s="124" t="s">
        <v>457</v>
      </c>
      <c r="B122" s="126">
        <v>115.9158132235478</v>
      </c>
      <c r="C122" s="126">
        <v>118.3928931586883</v>
      </c>
      <c r="D122" s="126">
        <v>122.99106647376644</v>
      </c>
      <c r="E122" s="126">
        <v>123.10894907683956</v>
      </c>
      <c r="F122" s="126">
        <v>123.97431865340981</v>
      </c>
      <c r="G122" s="126">
        <v>125.38855267745843</v>
      </c>
      <c r="H122" s="126">
        <v>126.59209032741943</v>
      </c>
      <c r="I122" s="126">
        <v>129.15668807643766</v>
      </c>
      <c r="J122" s="126">
        <v>131.36169031906451</v>
      </c>
      <c r="K122" s="126">
        <v>133.61170823676281</v>
      </c>
      <c r="L122" s="126">
        <v>133.25030475425916</v>
      </c>
      <c r="M122" s="126">
        <v>136.69159670914854</v>
      </c>
      <c r="N122" s="126">
        <v>137.72179961446648</v>
      </c>
      <c r="O122" s="126">
        <v>137.82762582908424</v>
      </c>
      <c r="P122" s="126">
        <v>138.3975622549531</v>
      </c>
      <c r="Q122" s="126">
        <v>136.31266361276451</v>
      </c>
      <c r="R122" s="126">
        <v>136.53474327747026</v>
      </c>
      <c r="S122" s="126">
        <v>135.51525792101168</v>
      </c>
      <c r="T122" s="126">
        <v>129.184632038541</v>
      </c>
      <c r="U122" s="126">
        <v>128.73395725150317</v>
      </c>
      <c r="V122" s="126">
        <v>129.82422916490435</v>
      </c>
      <c r="W122" s="126">
        <v>130.77174724324527</v>
      </c>
      <c r="X122" s="126">
        <v>129.16924930016617</v>
      </c>
      <c r="Y122" s="126">
        <v>128.93004601536822</v>
      </c>
      <c r="Z122" s="126">
        <v>128.84914429646705</v>
      </c>
      <c r="AA122" s="126">
        <v>130.25682819565728</v>
      </c>
      <c r="AB122" s="126">
        <v>130.47744509662522</v>
      </c>
      <c r="AC122" s="126">
        <v>130.31531195355706</v>
      </c>
      <c r="AD122" s="126">
        <v>127.19023646643687</v>
      </c>
      <c r="AE122" s="126">
        <v>126.17501992475914</v>
      </c>
      <c r="AF122" s="126">
        <v>107.32308595001999</v>
      </c>
      <c r="AG122" s="126">
        <v>120.46001265030689</v>
      </c>
      <c r="AH122" s="126">
        <v>122.39685507776238</v>
      </c>
      <c r="AI122" s="349">
        <f t="shared" ref="AI122" si="65">SUM(AI101:AI121)</f>
        <v>115.15980339388284</v>
      </c>
      <c r="AJ122" s="349">
        <f t="shared" ref="AJ122" si="66">SUM(AJ101:AJ121)</f>
        <v>111.63069388895291</v>
      </c>
      <c r="AK122" s="349">
        <f t="shared" ref="AK122" si="67">SUM(AK101:AK121)</f>
        <v>108.101584384023</v>
      </c>
      <c r="AL122" s="349">
        <f t="shared" ref="AL122" si="68">SUM(AL101:AL121)</f>
        <v>103.09075837233398</v>
      </c>
      <c r="AM122" s="349">
        <f t="shared" ref="AM122" si="69">SUM(AM101:AM121)</f>
        <v>98.079932360644946</v>
      </c>
      <c r="AN122" s="349">
        <f t="shared" ref="AN122" si="70">SUM(AN101:AN121)</f>
        <v>93.069106348955899</v>
      </c>
      <c r="AO122" s="349">
        <f t="shared" ref="AO122" si="71">SUM(AO101:AO121)</f>
        <v>88.184985834436816</v>
      </c>
      <c r="AP122" s="349">
        <f>SUM(AP101:AP121)</f>
        <v>83.300865319917719</v>
      </c>
    </row>
    <row r="123" spans="1:42" ht="24">
      <c r="A123" s="100" t="s">
        <v>60</v>
      </c>
      <c r="B123" s="92">
        <v>1.0939765562877675</v>
      </c>
      <c r="C123" s="92">
        <v>1.0596877388518826</v>
      </c>
      <c r="D123" s="92">
        <v>1.0090709131131945</v>
      </c>
      <c r="E123" s="92">
        <v>0.93368994144858974</v>
      </c>
      <c r="F123" s="92">
        <v>0.86701724087881282</v>
      </c>
      <c r="G123" s="92">
        <v>0.82837428789551359</v>
      </c>
      <c r="H123" s="92">
        <v>0.80224947461102969</v>
      </c>
      <c r="I123" s="92">
        <v>0.79462973740305509</v>
      </c>
      <c r="J123" s="92">
        <v>0.75625891789146904</v>
      </c>
      <c r="K123" s="92">
        <v>0.76406593350386987</v>
      </c>
      <c r="L123" s="92">
        <v>0.78174231058958932</v>
      </c>
      <c r="M123" s="92">
        <v>0.74753516100211015</v>
      </c>
      <c r="N123" s="92">
        <v>0.77298083558181474</v>
      </c>
      <c r="O123" s="92">
        <v>0.74371969461842746</v>
      </c>
      <c r="P123" s="92">
        <v>0.73592379862568624</v>
      </c>
      <c r="Q123" s="92">
        <v>0.6709549432586982</v>
      </c>
      <c r="R123" s="92">
        <v>0.64961654064584096</v>
      </c>
      <c r="S123" s="92">
        <v>0.61468053234668263</v>
      </c>
      <c r="T123" s="92">
        <v>0.62577557959035279</v>
      </c>
      <c r="U123" s="92">
        <v>0.5747632651301775</v>
      </c>
      <c r="V123" s="92">
        <v>0.54936851733276915</v>
      </c>
      <c r="W123" s="92">
        <v>0.56258751096856063</v>
      </c>
      <c r="X123" s="92">
        <v>0.542673161223034</v>
      </c>
      <c r="Y123" s="92">
        <v>0.53813399840219267</v>
      </c>
      <c r="Z123" s="92">
        <v>0.46552714600160816</v>
      </c>
      <c r="AA123" s="92">
        <v>0.51466859813919363</v>
      </c>
      <c r="AB123" s="92">
        <v>0.43561911501318951</v>
      </c>
      <c r="AC123" s="92">
        <v>0.45683605820835499</v>
      </c>
      <c r="AD123" s="92">
        <v>0.41015904436462641</v>
      </c>
      <c r="AE123" s="92">
        <v>0.40960026188842491</v>
      </c>
      <c r="AF123" s="92">
        <v>0.34826549057593958</v>
      </c>
      <c r="AG123" s="92">
        <v>0.38906020539497799</v>
      </c>
      <c r="AH123" s="92">
        <v>0.38373991940179547</v>
      </c>
      <c r="AI123" s="338">
        <v>0.36180151671394473</v>
      </c>
      <c r="AJ123" s="338">
        <f t="shared" si="61"/>
        <v>0.36677472148812396</v>
      </c>
      <c r="AK123" s="338">
        <v>0.37174792626230313</v>
      </c>
      <c r="AL123" s="338">
        <f t="shared" si="62"/>
        <v>0.35375422635959763</v>
      </c>
      <c r="AM123" s="338">
        <f t="shared" si="63"/>
        <v>0.33576052645689219</v>
      </c>
      <c r="AN123" s="338">
        <v>0.3177668265541867</v>
      </c>
      <c r="AO123" s="338">
        <f t="shared" si="64"/>
        <v>0.30020784518183019</v>
      </c>
      <c r="AP123" s="338">
        <v>0.28264886380947363</v>
      </c>
    </row>
    <row r="124" spans="1:42" ht="36">
      <c r="A124" s="100" t="s">
        <v>458</v>
      </c>
      <c r="B124" s="92">
        <v>0.12792385730533778</v>
      </c>
      <c r="C124" s="92">
        <v>0.14132044818885711</v>
      </c>
      <c r="D124" s="92">
        <v>0.14802314004077491</v>
      </c>
      <c r="E124" s="92">
        <v>9.5536115513107464E-2</v>
      </c>
      <c r="F124" s="92">
        <v>9.7159783650105316E-2</v>
      </c>
      <c r="G124" s="92">
        <v>9.6414031324578292E-2</v>
      </c>
      <c r="H124" s="92">
        <v>9.8191111516076887E-2</v>
      </c>
      <c r="I124" s="92">
        <v>9.4098144773553549E-2</v>
      </c>
      <c r="J124" s="92">
        <v>0.10341813157844248</v>
      </c>
      <c r="K124" s="92">
        <v>0.12250136400131366</v>
      </c>
      <c r="L124" s="92">
        <v>0.12306109736819622</v>
      </c>
      <c r="M124" s="92">
        <v>0.1064081004367658</v>
      </c>
      <c r="N124" s="92">
        <v>0.11511817600104013</v>
      </c>
      <c r="O124" s="92">
        <v>0.11822854122247232</v>
      </c>
      <c r="P124" s="92">
        <v>0.12200890564331217</v>
      </c>
      <c r="Q124" s="92">
        <v>0.13556876845575219</v>
      </c>
      <c r="R124" s="92">
        <v>0.13531275966959874</v>
      </c>
      <c r="S124" s="92">
        <v>0.12717175573010284</v>
      </c>
      <c r="T124" s="92">
        <v>0.12966225371235096</v>
      </c>
      <c r="U124" s="92">
        <v>0.13818972479333411</v>
      </c>
      <c r="V124" s="92">
        <v>0.1445234955366976</v>
      </c>
      <c r="W124" s="92">
        <v>0.1391738416220647</v>
      </c>
      <c r="X124" s="92">
        <v>0.13251533641454405</v>
      </c>
      <c r="Y124" s="92">
        <v>0.13240437438872052</v>
      </c>
      <c r="Z124" s="92">
        <v>0.12714951174315717</v>
      </c>
      <c r="AA124" s="92">
        <v>0.12139036967482078</v>
      </c>
      <c r="AB124" s="92">
        <v>0.10981598915822192</v>
      </c>
      <c r="AC124" s="92">
        <v>0.10378006477464288</v>
      </c>
      <c r="AD124" s="92">
        <v>0.10993335792870489</v>
      </c>
      <c r="AE124" s="92">
        <v>0.12062813212633966</v>
      </c>
      <c r="AF124" s="92">
        <v>0.1113195938686633</v>
      </c>
      <c r="AG124" s="92">
        <v>0.11789064970364951</v>
      </c>
      <c r="AH124" s="92">
        <v>0.12098971860903181</v>
      </c>
      <c r="AI124" s="338">
        <v>0.11450772408132937</v>
      </c>
      <c r="AJ124" s="338">
        <f>AI124+(AK124-AI124)/2</f>
        <v>0.11965590440494026</v>
      </c>
      <c r="AK124" s="338">
        <v>0.12480408472855116</v>
      </c>
      <c r="AL124" s="338">
        <f>AK124+(AN124-AK124)/3</f>
        <v>0.12823760354874397</v>
      </c>
      <c r="AM124" s="338">
        <f>AK124+(AN124-AK124)*2/3</f>
        <v>0.1316711223689368</v>
      </c>
      <c r="AN124" s="338">
        <v>0.13510464118912963</v>
      </c>
      <c r="AO124" s="338">
        <f>AN124+(AP124-AN124)/2</f>
        <v>0.1385381600093224</v>
      </c>
      <c r="AP124" s="338">
        <v>0.14197167882951517</v>
      </c>
    </row>
    <row r="125" spans="1:42" ht="36">
      <c r="A125" s="100" t="s">
        <v>459</v>
      </c>
      <c r="B125" s="92">
        <v>1.7314890486682581</v>
      </c>
      <c r="C125" s="92">
        <v>1.8880101486692349</v>
      </c>
      <c r="D125" s="92">
        <v>1.7225098103006211</v>
      </c>
      <c r="E125" s="92">
        <v>1.9260749807880324</v>
      </c>
      <c r="F125" s="92">
        <v>1.8349483306746912</v>
      </c>
      <c r="G125" s="92">
        <v>1.7785800307640145</v>
      </c>
      <c r="H125" s="92">
        <v>1.7410893775852607</v>
      </c>
      <c r="I125" s="92">
        <v>1.773388157412731</v>
      </c>
      <c r="J125" s="92">
        <v>1.8059441969087189</v>
      </c>
      <c r="K125" s="92">
        <v>1.9244308250279647</v>
      </c>
      <c r="L125" s="92">
        <v>1.859056173347011</v>
      </c>
      <c r="M125" s="92">
        <v>1.9847089852416411</v>
      </c>
      <c r="N125" s="92">
        <v>1.9565013020626429</v>
      </c>
      <c r="O125" s="92">
        <v>2.0042333886763419</v>
      </c>
      <c r="P125" s="92">
        <v>1.8579674790538296</v>
      </c>
      <c r="Q125" s="92">
        <v>1.8259880184075961</v>
      </c>
      <c r="R125" s="92">
        <v>1.6987366054519912</v>
      </c>
      <c r="S125" s="92">
        <v>1.6378601244389959</v>
      </c>
      <c r="T125" s="92">
        <v>1.5720133344413929</v>
      </c>
      <c r="U125" s="92">
        <v>1.612056645959123</v>
      </c>
      <c r="V125" s="92">
        <v>1.5741915325003661</v>
      </c>
      <c r="W125" s="92">
        <v>1.6463236024448367</v>
      </c>
      <c r="X125" s="92">
        <v>1.6830529067135582</v>
      </c>
      <c r="Y125" s="92">
        <v>1.575342974814246</v>
      </c>
      <c r="Z125" s="92">
        <v>1.5963404572834627</v>
      </c>
      <c r="AA125" s="92">
        <v>1.5698100121175695</v>
      </c>
      <c r="AB125" s="92">
        <v>1.5271568701702647</v>
      </c>
      <c r="AC125" s="92">
        <v>1.6765476053033728</v>
      </c>
      <c r="AD125" s="92">
        <v>1.5909675359825184</v>
      </c>
      <c r="AE125" s="92">
        <v>1.6019457779831172</v>
      </c>
      <c r="AF125" s="92">
        <v>1.6266851465932464</v>
      </c>
      <c r="AG125" s="92">
        <v>1.7455020283448635</v>
      </c>
      <c r="AH125" s="92">
        <v>1.7184732412072006</v>
      </c>
      <c r="AI125" s="338">
        <v>1.5583904914151894</v>
      </c>
      <c r="AJ125" s="338">
        <f t="shared" ref="AJ125:AJ127" si="72">AI125+(AK125-AI125)/2</f>
        <v>1.5173195502391617</v>
      </c>
      <c r="AK125" s="338">
        <v>1.4762486090631339</v>
      </c>
      <c r="AL125" s="338">
        <f t="shared" ref="AL125:AL127" si="73">AK125+(AN125-AK125)/3</f>
        <v>1.4238379088694697</v>
      </c>
      <c r="AM125" s="338">
        <f t="shared" ref="AM125:AM127" si="74">AK125+(AN125-AK125)*2/3</f>
        <v>1.3714272086758057</v>
      </c>
      <c r="AN125" s="338">
        <v>1.3190165084821415</v>
      </c>
      <c r="AO125" s="338">
        <f t="shared" ref="AO125:AO127" si="75">AN125+(AP125-AN125)/2</f>
        <v>1.26476566180011</v>
      </c>
      <c r="AP125" s="338">
        <v>1.2105148151180787</v>
      </c>
    </row>
    <row r="126" spans="1:42" ht="36">
      <c r="A126" s="100" t="s">
        <v>460</v>
      </c>
      <c r="B126" s="92">
        <v>0.66526652613885218</v>
      </c>
      <c r="C126" s="92">
        <v>0.6843484877355388</v>
      </c>
      <c r="D126" s="92">
        <v>0.70384016437139774</v>
      </c>
      <c r="E126" s="92">
        <v>0.73689575613357228</v>
      </c>
      <c r="F126" s="92">
        <v>0.75255107541136546</v>
      </c>
      <c r="G126" s="92">
        <v>0.79029148576013009</v>
      </c>
      <c r="H126" s="92">
        <v>0.80957813027947467</v>
      </c>
      <c r="I126" s="92">
        <v>0.83257757818670142</v>
      </c>
      <c r="J126" s="92">
        <v>0.88848062191824895</v>
      </c>
      <c r="K126" s="92">
        <v>0.9100373048357332</v>
      </c>
      <c r="L126" s="92">
        <v>0.84650356467194499</v>
      </c>
      <c r="M126" s="92">
        <v>0.90650427637429154</v>
      </c>
      <c r="N126" s="92">
        <v>0.97278843634744006</v>
      </c>
      <c r="O126" s="92">
        <v>0.98868498487729739</v>
      </c>
      <c r="P126" s="92">
        <v>1.0116752143845043</v>
      </c>
      <c r="Q126" s="92">
        <v>0.96125582576145197</v>
      </c>
      <c r="R126" s="92">
        <v>0.95627124640320604</v>
      </c>
      <c r="S126" s="92">
        <v>0.97293482736789194</v>
      </c>
      <c r="T126" s="92">
        <v>0.94174317561250354</v>
      </c>
      <c r="U126" s="92">
        <v>0.95741186219621055</v>
      </c>
      <c r="V126" s="92">
        <v>0.96655025524110594</v>
      </c>
      <c r="W126" s="92">
        <v>0.95527950655385241</v>
      </c>
      <c r="X126" s="92">
        <v>1.0110583148820658</v>
      </c>
      <c r="Y126" s="92">
        <v>1.0192424593377902</v>
      </c>
      <c r="Z126" s="92">
        <v>1.0236374845641103</v>
      </c>
      <c r="AA126" s="92">
        <v>1.0260373990759986</v>
      </c>
      <c r="AB126" s="92">
        <v>1.033807887931782</v>
      </c>
      <c r="AC126" s="92">
        <v>1.0319924590969107</v>
      </c>
      <c r="AD126" s="92">
        <v>1.0331241442906327</v>
      </c>
      <c r="AE126" s="92">
        <v>1.0461846259344962</v>
      </c>
      <c r="AF126" s="92">
        <v>1.0417594280391762</v>
      </c>
      <c r="AG126" s="92">
        <v>1.0423329990789119</v>
      </c>
      <c r="AH126" s="92">
        <v>1.1331826939307412</v>
      </c>
      <c r="AI126" s="338">
        <v>1.0211879763901819</v>
      </c>
      <c r="AJ126" s="338">
        <f t="shared" si="72"/>
        <v>1.0143308258405175</v>
      </c>
      <c r="AK126" s="338">
        <v>1.0074736752908529</v>
      </c>
      <c r="AL126" s="338">
        <f t="shared" si="73"/>
        <v>1.0042096075451981</v>
      </c>
      <c r="AM126" s="338">
        <f t="shared" si="74"/>
        <v>1.000945539799543</v>
      </c>
      <c r="AN126" s="338">
        <v>0.99768147205388813</v>
      </c>
      <c r="AO126" s="338">
        <f t="shared" si="75"/>
        <v>0.99441740430823322</v>
      </c>
      <c r="AP126" s="338">
        <v>0.99115333656257842</v>
      </c>
    </row>
    <row r="127" spans="1:42" ht="24">
      <c r="A127" s="100" t="s">
        <v>251</v>
      </c>
      <c r="B127" s="92">
        <v>4.1619911821208984</v>
      </c>
      <c r="C127" s="92">
        <v>4.2625837357282705</v>
      </c>
      <c r="D127" s="92">
        <v>4.2070571297103232</v>
      </c>
      <c r="E127" s="92">
        <v>4.1976277505037229</v>
      </c>
      <c r="F127" s="92">
        <v>4.3766234122160554</v>
      </c>
      <c r="G127" s="92">
        <v>5.0015715269946677</v>
      </c>
      <c r="H127" s="92">
        <v>5.5498948847211924</v>
      </c>
      <c r="I127" s="92">
        <v>5.6880968649764281</v>
      </c>
      <c r="J127" s="92">
        <v>5.8752515233714124</v>
      </c>
      <c r="K127" s="92">
        <v>6.0331502386114808</v>
      </c>
      <c r="L127" s="92">
        <v>6.2024054594043427</v>
      </c>
      <c r="M127" s="92">
        <v>5.8284446298858557</v>
      </c>
      <c r="N127" s="92">
        <v>5.6332187741090607</v>
      </c>
      <c r="O127" s="92">
        <v>5.1187151093085372</v>
      </c>
      <c r="P127" s="92">
        <v>5.1731003379018583</v>
      </c>
      <c r="Q127" s="92">
        <v>4.9989899138667724</v>
      </c>
      <c r="R127" s="92">
        <v>4.764675638490071</v>
      </c>
      <c r="S127" s="92">
        <v>4.6849900588890971</v>
      </c>
      <c r="T127" s="92">
        <v>4.7043345830068359</v>
      </c>
      <c r="U127" s="92">
        <v>4.6457881476684308</v>
      </c>
      <c r="V127" s="92">
        <v>4.5939343312633039</v>
      </c>
      <c r="W127" s="92">
        <v>4.6413639697587978</v>
      </c>
      <c r="X127" s="92">
        <v>4.6638168075342028</v>
      </c>
      <c r="Y127" s="92">
        <v>4.5999269090184738</v>
      </c>
      <c r="Z127" s="92">
        <v>4.4179836029297954</v>
      </c>
      <c r="AA127" s="92">
        <v>4.4081771544110095</v>
      </c>
      <c r="AB127" s="92">
        <v>4.5507398038615419</v>
      </c>
      <c r="AC127" s="92">
        <v>4.702656864237432</v>
      </c>
      <c r="AD127" s="92">
        <v>4.9429955049114493</v>
      </c>
      <c r="AE127" s="92">
        <v>5.0166411741322277</v>
      </c>
      <c r="AF127" s="92">
        <v>3.0750248425070268</v>
      </c>
      <c r="AG127" s="92">
        <v>3.7965902544624432</v>
      </c>
      <c r="AH127" s="92">
        <v>4.7411691638112607</v>
      </c>
      <c r="AI127" s="338">
        <v>3.956993701582066</v>
      </c>
      <c r="AJ127" s="338">
        <f t="shared" si="72"/>
        <v>4.251202758528807</v>
      </c>
      <c r="AK127" s="338">
        <v>4.5454118154755481</v>
      </c>
      <c r="AL127" s="338">
        <f t="shared" si="73"/>
        <v>4.5265910745978992</v>
      </c>
      <c r="AM127" s="338">
        <f t="shared" si="74"/>
        <v>4.5077703337202513</v>
      </c>
      <c r="AN127" s="338">
        <v>4.4889495928426024</v>
      </c>
      <c r="AO127" s="338">
        <f t="shared" si="75"/>
        <v>4.4701292899058807</v>
      </c>
      <c r="AP127" s="338">
        <v>4.451308986969158</v>
      </c>
    </row>
    <row r="128" spans="1:42">
      <c r="A128" s="124" t="s">
        <v>461</v>
      </c>
      <c r="B128" s="127">
        <v>7.7806471705211138</v>
      </c>
      <c r="C128" s="127">
        <v>8.0359505591737843</v>
      </c>
      <c r="D128" s="127">
        <v>7.7905011575363119</v>
      </c>
      <c r="E128" s="125">
        <v>7.8898245443870252</v>
      </c>
      <c r="F128" s="125">
        <v>7.9282998428310307</v>
      </c>
      <c r="G128" s="125">
        <v>8.4952313627389042</v>
      </c>
      <c r="H128" s="125">
        <v>9.0010029787130339</v>
      </c>
      <c r="I128" s="125">
        <v>9.1827904827524698</v>
      </c>
      <c r="J128" s="125">
        <v>9.4293533916682915</v>
      </c>
      <c r="K128" s="125">
        <v>9.7541856659803621</v>
      </c>
      <c r="L128" s="125">
        <v>9.8127686053810841</v>
      </c>
      <c r="M128" s="125">
        <v>9.5736011529406646</v>
      </c>
      <c r="N128" s="125">
        <v>9.4506075241019989</v>
      </c>
      <c r="O128" s="125">
        <v>8.9735817187030769</v>
      </c>
      <c r="P128" s="125">
        <v>8.900675735609191</v>
      </c>
      <c r="Q128" s="125">
        <v>8.5927574697502713</v>
      </c>
      <c r="R128" s="125">
        <v>8.2046127906607076</v>
      </c>
      <c r="S128" s="125">
        <v>8.0376372987727702</v>
      </c>
      <c r="T128" s="125">
        <v>7.9735289263634357</v>
      </c>
      <c r="U128" s="125">
        <v>7.9282096457472759</v>
      </c>
      <c r="V128" s="125">
        <v>7.8285681318742419</v>
      </c>
      <c r="W128" s="125">
        <v>7.9447284313481124</v>
      </c>
      <c r="X128" s="125">
        <v>8.0331165267674045</v>
      </c>
      <c r="Y128" s="125">
        <v>7.8650507159614236</v>
      </c>
      <c r="Z128" s="125">
        <v>7.6306382025221335</v>
      </c>
      <c r="AA128" s="125">
        <v>7.6400835334185917</v>
      </c>
      <c r="AB128" s="125">
        <v>7.6571396661349995</v>
      </c>
      <c r="AC128" s="125">
        <v>7.9718130516207131</v>
      </c>
      <c r="AD128" s="125">
        <v>8.087179587477932</v>
      </c>
      <c r="AE128" s="125">
        <v>8.1949999720646058</v>
      </c>
      <c r="AF128" s="125">
        <v>6.2030545015840524</v>
      </c>
      <c r="AG128" s="125">
        <v>7.091376136984846</v>
      </c>
      <c r="AH128" s="125">
        <v>8.0975547369600296</v>
      </c>
      <c r="AI128" s="349">
        <f t="shared" ref="AI128:AP128" si="76">SUM(AI123:AI127)</f>
        <v>7.0128814101827111</v>
      </c>
      <c r="AJ128" s="349">
        <f t="shared" si="76"/>
        <v>7.2692837605015503</v>
      </c>
      <c r="AK128" s="349">
        <f t="shared" si="76"/>
        <v>7.5256861108203896</v>
      </c>
      <c r="AL128" s="349">
        <f t="shared" si="76"/>
        <v>7.4366304209209089</v>
      </c>
      <c r="AM128" s="349">
        <f t="shared" si="76"/>
        <v>7.347574731021429</v>
      </c>
      <c r="AN128" s="349">
        <f t="shared" si="76"/>
        <v>7.2585190411219482</v>
      </c>
      <c r="AO128" s="349">
        <f t="shared" si="76"/>
        <v>7.1680583612053761</v>
      </c>
      <c r="AP128" s="349">
        <f t="shared" si="76"/>
        <v>7.077597681288804</v>
      </c>
    </row>
    <row r="129" spans="1:42">
      <c r="A129" s="128" t="s">
        <v>462</v>
      </c>
      <c r="B129" s="130">
        <v>123.69646039406891</v>
      </c>
      <c r="C129" s="130">
        <v>126.42884371786208</v>
      </c>
      <c r="D129" s="130">
        <v>130.78156763130275</v>
      </c>
      <c r="E129" s="129">
        <v>130.99877362122658</v>
      </c>
      <c r="F129" s="129">
        <v>131.90261849624085</v>
      </c>
      <c r="G129" s="129">
        <v>133.88378404019733</v>
      </c>
      <c r="H129" s="129">
        <v>135.59309330613246</v>
      </c>
      <c r="I129" s="129">
        <v>138.33947855919013</v>
      </c>
      <c r="J129" s="129">
        <v>140.79104371073279</v>
      </c>
      <c r="K129" s="129">
        <v>143.36589390274318</v>
      </c>
      <c r="L129" s="129">
        <v>143.06307335964024</v>
      </c>
      <c r="M129" s="129">
        <v>146.2651978620892</v>
      </c>
      <c r="N129" s="129">
        <v>147.17240713856847</v>
      </c>
      <c r="O129" s="129">
        <v>146.80120754778733</v>
      </c>
      <c r="P129" s="129">
        <v>147.29823799056228</v>
      </c>
      <c r="Q129" s="129">
        <v>144.90542108251478</v>
      </c>
      <c r="R129" s="129">
        <v>144.73935606813097</v>
      </c>
      <c r="S129" s="129">
        <v>143.55289521978446</v>
      </c>
      <c r="T129" s="129">
        <v>137.15816096490443</v>
      </c>
      <c r="U129" s="129">
        <v>136.66216689725044</v>
      </c>
      <c r="V129" s="129">
        <v>137.6527972967786</v>
      </c>
      <c r="W129" s="129">
        <v>138.7164756745934</v>
      </c>
      <c r="X129" s="129">
        <v>137.20236582693357</v>
      </c>
      <c r="Y129" s="129">
        <v>136.79509673132964</v>
      </c>
      <c r="Z129" s="129">
        <v>136.47978249898918</v>
      </c>
      <c r="AA129" s="129">
        <v>137.89691172907587</v>
      </c>
      <c r="AB129" s="129">
        <v>138.13458476276023</v>
      </c>
      <c r="AC129" s="129">
        <v>138.28712500517776</v>
      </c>
      <c r="AD129" s="129">
        <v>135.27741605391481</v>
      </c>
      <c r="AE129" s="129">
        <v>134.37001989682375</v>
      </c>
      <c r="AF129" s="129">
        <v>113.52614045160404</v>
      </c>
      <c r="AG129" s="129">
        <v>127.55138878729174</v>
      </c>
      <c r="AH129" s="129">
        <v>130.49440981472242</v>
      </c>
      <c r="AI129" s="350">
        <f t="shared" ref="AI129:AP129" si="77">+AI122+AI128</f>
        <v>122.17268480406555</v>
      </c>
      <c r="AJ129" s="350">
        <f t="shared" si="77"/>
        <v>118.89997764945446</v>
      </c>
      <c r="AK129" s="350">
        <f t="shared" si="77"/>
        <v>115.62727049484339</v>
      </c>
      <c r="AL129" s="350">
        <f t="shared" si="77"/>
        <v>110.52738879325489</v>
      </c>
      <c r="AM129" s="350">
        <f t="shared" si="77"/>
        <v>105.42750709166637</v>
      </c>
      <c r="AN129" s="350">
        <f t="shared" si="77"/>
        <v>100.32762539007784</v>
      </c>
      <c r="AO129" s="350">
        <f t="shared" si="77"/>
        <v>95.353044195642198</v>
      </c>
      <c r="AP129" s="350">
        <f t="shared" si="77"/>
        <v>90.378463001206526</v>
      </c>
    </row>
    <row r="130" spans="1:42">
      <c r="A130" s="131"/>
      <c r="B130" s="131"/>
      <c r="C130" s="131"/>
      <c r="D130" s="131"/>
      <c r="E130" s="131"/>
      <c r="F130" s="131"/>
      <c r="G130" s="131"/>
      <c r="H130" s="131"/>
      <c r="I130" s="131"/>
      <c r="J130" s="131"/>
      <c r="K130" s="131"/>
      <c r="L130" s="131"/>
      <c r="M130" s="131"/>
      <c r="N130" s="131"/>
      <c r="O130" s="131"/>
      <c r="P130" s="131"/>
      <c r="Q130" s="131"/>
      <c r="R130" s="131"/>
      <c r="S130" s="131"/>
      <c r="T130" s="131"/>
      <c r="U130" s="131"/>
      <c r="V130" s="131"/>
      <c r="W130" s="150"/>
      <c r="X130" s="150"/>
      <c r="Y130" s="150"/>
      <c r="Z130" s="150"/>
      <c r="AA130" s="150"/>
      <c r="AB130" s="150"/>
      <c r="AC130" s="150"/>
      <c r="AD130" s="150"/>
      <c r="AE130" s="150"/>
      <c r="AF130" s="131"/>
      <c r="AG130" s="131"/>
      <c r="AH130" s="131"/>
    </row>
    <row r="131" spans="1:42" ht="60">
      <c r="A131" s="132" t="s">
        <v>463</v>
      </c>
      <c r="B131" s="133">
        <v>8.6851515025442597E-2</v>
      </c>
      <c r="C131" s="133">
        <v>8.3071731858226874E-2</v>
      </c>
      <c r="D131" s="133">
        <v>9.2397052866815085E-2</v>
      </c>
      <c r="E131" s="133">
        <v>6.794961566405372E-2</v>
      </c>
      <c r="F131" s="133">
        <v>7.59427552433595E-2</v>
      </c>
      <c r="G131" s="133">
        <v>8.3099712713088886E-2</v>
      </c>
      <c r="H131" s="133">
        <v>7.8117029949489103E-2</v>
      </c>
      <c r="I131" s="133">
        <v>7.5798791547810052E-2</v>
      </c>
      <c r="J131" s="133">
        <v>8.2506817603427138E-2</v>
      </c>
      <c r="K131" s="133">
        <v>8.1239945001358282E-2</v>
      </c>
      <c r="L131" s="133">
        <v>9.2719300601007568E-2</v>
      </c>
      <c r="M131" s="133">
        <v>9.240391804761991E-2</v>
      </c>
      <c r="N131" s="133">
        <v>8.9628144205832899E-2</v>
      </c>
      <c r="O131" s="133">
        <v>8.4327146537192393E-2</v>
      </c>
      <c r="P131" s="133">
        <v>9.2349282172009758E-2</v>
      </c>
      <c r="Q131" s="133">
        <v>9.3963180895193774E-2</v>
      </c>
      <c r="R131" s="133">
        <v>9.6277431799359284E-2</v>
      </c>
      <c r="S131" s="133">
        <v>9.1965687218251574E-2</v>
      </c>
      <c r="T131" s="133">
        <v>8.7687140747829864E-2</v>
      </c>
      <c r="U131" s="133">
        <v>7.6274487446038472E-2</v>
      </c>
      <c r="V131" s="133">
        <v>8.7751554119490399E-2</v>
      </c>
      <c r="W131" s="133">
        <v>7.9057496686831097E-2</v>
      </c>
      <c r="X131" s="133">
        <v>7.665023911612362E-2</v>
      </c>
      <c r="Y131" s="133">
        <v>7.8522295176984211E-2</v>
      </c>
      <c r="Z131" s="133">
        <v>7.759489293735336E-2</v>
      </c>
      <c r="AA131" s="133">
        <v>7.5121210016821052E-2</v>
      </c>
      <c r="AB131" s="133">
        <v>7.0215837597567526E-2</v>
      </c>
      <c r="AC131" s="133">
        <v>7.2041119907908804E-2</v>
      </c>
      <c r="AD131" s="133">
        <v>6.4672812130610463E-2</v>
      </c>
      <c r="AE131" s="133">
        <v>7.0800074960261056E-2</v>
      </c>
      <c r="AF131" s="133">
        <v>5.8485101246553872E-2</v>
      </c>
      <c r="AG131" s="133">
        <v>5.7664186067998037E-2</v>
      </c>
      <c r="AH131" s="133">
        <v>5.9180042384395788E-2</v>
      </c>
      <c r="AI131" s="338">
        <v>6.0314009416633584E-2</v>
      </c>
      <c r="AJ131" s="338">
        <f t="shared" ref="AJ131" si="78">AI131+(AK131-AI131)/2</f>
        <v>6.306315326762349E-2</v>
      </c>
      <c r="AK131" s="338">
        <v>6.5812297118613403E-2</v>
      </c>
      <c r="AL131" s="338">
        <f t="shared" ref="AL131" si="79">AK131+(AN131-AK131)/3</f>
        <v>6.7639193276051432E-2</v>
      </c>
      <c r="AM131" s="338">
        <f t="shared" ref="AM131" si="80">AK131+(AN131-AK131)*2/3</f>
        <v>6.9466089433489475E-2</v>
      </c>
      <c r="AN131" s="338">
        <v>7.1292985590927505E-2</v>
      </c>
      <c r="AO131" s="338">
        <f t="shared" ref="AO131" si="81">AN131+(AP131-AN131)/2</f>
        <v>7.3119881748365534E-2</v>
      </c>
      <c r="AP131" s="338">
        <v>7.4946777905803577E-2</v>
      </c>
    </row>
    <row r="132" spans="1:42" ht="60">
      <c r="A132" s="132" t="s">
        <v>464</v>
      </c>
      <c r="B132" s="133">
        <v>7.9489063377689515</v>
      </c>
      <c r="C132" s="133">
        <v>8.2504614591792862</v>
      </c>
      <c r="D132" s="133">
        <v>7.9879652543118773</v>
      </c>
      <c r="E132" s="133">
        <v>7.750177862324759</v>
      </c>
      <c r="F132" s="133">
        <v>6.8989786758310583</v>
      </c>
      <c r="G132" s="133">
        <v>7.1108642391442753</v>
      </c>
      <c r="H132" s="133">
        <v>7.4766590278697169</v>
      </c>
      <c r="I132" s="133">
        <v>8.2125821962334502</v>
      </c>
      <c r="J132" s="133">
        <v>9.0623679532727692</v>
      </c>
      <c r="K132" s="133">
        <v>9.1657976231337557</v>
      </c>
      <c r="L132" s="133">
        <v>9.4651397275451963</v>
      </c>
      <c r="M132" s="133">
        <v>8.0076906548829196</v>
      </c>
      <c r="N132" s="133">
        <v>7.7552483438206936</v>
      </c>
      <c r="O132" s="133">
        <v>8.4128415072597882</v>
      </c>
      <c r="P132" s="133">
        <v>9.6022391600424477</v>
      </c>
      <c r="Q132" s="133">
        <v>8.7713596378411864</v>
      </c>
      <c r="R132" s="133">
        <v>9.1223591046612533</v>
      </c>
      <c r="S132" s="133">
        <v>9.3693636150824471</v>
      </c>
      <c r="T132" s="133">
        <v>8.1509489033573477</v>
      </c>
      <c r="U132" s="133">
        <v>8.1567566240345499</v>
      </c>
      <c r="V132" s="133">
        <v>7.9075255250008327</v>
      </c>
      <c r="W132" s="133">
        <v>8.484315816111156</v>
      </c>
      <c r="X132" s="133">
        <v>8.0158405340654397</v>
      </c>
      <c r="Y132" s="133">
        <v>7.3051306576785286</v>
      </c>
      <c r="Z132" s="133">
        <v>6.2190834056155895</v>
      </c>
      <c r="AA132" s="133">
        <v>5.5314546750715152</v>
      </c>
      <c r="AB132" s="133">
        <v>5.2520801172116798</v>
      </c>
      <c r="AC132" s="133">
        <v>5.5645526231440128</v>
      </c>
      <c r="AD132" s="133">
        <v>6.2853129291275218</v>
      </c>
      <c r="AE132" s="133">
        <v>5.5185941449060945</v>
      </c>
      <c r="AF132" s="133">
        <v>3.0924381268932812</v>
      </c>
      <c r="AG132" s="133">
        <v>3.5194290410781579</v>
      </c>
      <c r="AH132" s="133">
        <v>3.8245135615552952</v>
      </c>
      <c r="AI132" s="338">
        <v>4.1607191787809521</v>
      </c>
      <c r="AJ132" s="338">
        <f>AI132+(AK132-AI132)/2</f>
        <v>4.5168414330685778</v>
      </c>
      <c r="AK132" s="338">
        <v>4.8729636873562034</v>
      </c>
      <c r="AL132" s="338">
        <f>AK132+(AN132-AK132)/3</f>
        <v>4.7714398969337992</v>
      </c>
      <c r="AM132" s="338">
        <f>AK132+(AN132-AK132)*2/3</f>
        <v>4.669916106511395</v>
      </c>
      <c r="AN132" s="338">
        <v>4.5683923160889908</v>
      </c>
      <c r="AO132" s="338">
        <f>AN132+(AP132-AN132)/2</f>
        <v>4.4668685256665874</v>
      </c>
      <c r="AP132" s="338">
        <v>4.3653447352441841</v>
      </c>
    </row>
    <row r="133" spans="1:42" ht="60">
      <c r="A133" s="132" t="s">
        <v>465</v>
      </c>
      <c r="B133" s="133">
        <v>8.8774682204397628</v>
      </c>
      <c r="C133" s="133">
        <v>8.5293388508287915</v>
      </c>
      <c r="D133" s="133">
        <v>9.9792981714616378</v>
      </c>
      <c r="E133" s="133">
        <v>10.297838754567081</v>
      </c>
      <c r="F133" s="133">
        <v>10.691540000963096</v>
      </c>
      <c r="G133" s="133">
        <v>10.73965019575499</v>
      </c>
      <c r="H133" s="133">
        <v>11.44319259663621</v>
      </c>
      <c r="I133" s="133">
        <v>11.783677903617749</v>
      </c>
      <c r="J133" s="133">
        <v>12.523074087364495</v>
      </c>
      <c r="K133" s="133">
        <v>13.855301306876729</v>
      </c>
      <c r="L133" s="133">
        <v>14.345910597560366</v>
      </c>
      <c r="M133" s="133">
        <v>14.450055311804979</v>
      </c>
      <c r="N133" s="133">
        <v>14.549759746031922</v>
      </c>
      <c r="O133" s="133">
        <v>14.7109316313443</v>
      </c>
      <c r="P133" s="133">
        <v>15.726374328317428</v>
      </c>
      <c r="Q133" s="133">
        <v>15.965624648457345</v>
      </c>
      <c r="R133" s="133">
        <v>16.834557904873645</v>
      </c>
      <c r="S133" s="133">
        <v>17.468478257197543</v>
      </c>
      <c r="T133" s="133">
        <v>17.680845290399951</v>
      </c>
      <c r="U133" s="133">
        <v>16.242726893279173</v>
      </c>
      <c r="V133" s="133">
        <v>16.323125294190401</v>
      </c>
      <c r="W133" s="133">
        <v>17.170759011049551</v>
      </c>
      <c r="X133" s="133">
        <v>16.74057935310546</v>
      </c>
      <c r="Y133" s="133">
        <v>16.631118714367744</v>
      </c>
      <c r="Z133" s="133">
        <v>16.815286436589101</v>
      </c>
      <c r="AA133" s="133">
        <v>17.781444757405389</v>
      </c>
      <c r="AB133" s="133">
        <v>17.479882334635487</v>
      </c>
      <c r="AC133" s="133">
        <v>17.757180654354222</v>
      </c>
      <c r="AD133" s="133">
        <v>18.326082873013174</v>
      </c>
      <c r="AE133" s="133">
        <v>19.197629226891571</v>
      </c>
      <c r="AF133" s="133">
        <v>8.310186554941712</v>
      </c>
      <c r="AG133" s="133">
        <v>8.4182319092618751</v>
      </c>
      <c r="AH133" s="133">
        <v>11.465385945121644</v>
      </c>
      <c r="AI133" s="338">
        <v>14.621985823733789</v>
      </c>
      <c r="AJ133" s="338">
        <f t="shared" ref="AJ133:AJ134" si="82">AI133+(AK133-AI133)/2</f>
        <v>16.725991778119472</v>
      </c>
      <c r="AK133" s="338">
        <v>18.829997732505156</v>
      </c>
      <c r="AL133" s="338">
        <f t="shared" ref="AL133:AL134" si="83">AK133+(AN133-AK133)/3</f>
        <v>18.881016347211666</v>
      </c>
      <c r="AM133" s="338">
        <f t="shared" ref="AM133:AM134" si="84">AK133+(AN133-AK133)*2/3</f>
        <v>18.932034961918177</v>
      </c>
      <c r="AN133" s="338">
        <v>18.983053576624688</v>
      </c>
      <c r="AO133" s="338">
        <f t="shared" ref="AO133:AO134" si="85">AN133+(AP133-AN133)/2</f>
        <v>19.034075225309696</v>
      </c>
      <c r="AP133" s="338">
        <v>19.085096873994704</v>
      </c>
    </row>
    <row r="134" spans="1:42" ht="36">
      <c r="A134" s="134" t="s">
        <v>466</v>
      </c>
      <c r="B134" s="135">
        <v>6.6780000000000019E-4</v>
      </c>
      <c r="C134" s="135">
        <v>1.1412899999999999E-3</v>
      </c>
      <c r="D134" s="135">
        <v>9.756000000000004E-4</v>
      </c>
      <c r="E134" s="135">
        <v>9.3739499999999994E-4</v>
      </c>
      <c r="F134" s="135">
        <v>8.6202000000000013E-4</v>
      </c>
      <c r="G134" s="135">
        <v>1.3300650000000003E-3</v>
      </c>
      <c r="H134" s="135">
        <v>1.4490899999999994E-3</v>
      </c>
      <c r="I134" s="135">
        <v>1.7677349999999999E-3</v>
      </c>
      <c r="J134" s="135">
        <v>1.5145650000000003E-3</v>
      </c>
      <c r="K134" s="135">
        <v>1.3842000000000001E-3</v>
      </c>
      <c r="L134" s="135">
        <v>1.9543949999999994E-3</v>
      </c>
      <c r="M134" s="135">
        <v>1.3231799999999998E-3</v>
      </c>
      <c r="N134" s="135">
        <v>1.8962999999999999E-3</v>
      </c>
      <c r="O134" s="135">
        <v>8.123850000000001E-4</v>
      </c>
      <c r="P134" s="135">
        <v>6.4178999999999983E-4</v>
      </c>
      <c r="Q134" s="135">
        <v>1.0696499999999999E-3</v>
      </c>
      <c r="R134" s="135">
        <v>1.0696499999999999E-3</v>
      </c>
      <c r="S134" s="135">
        <v>1.2835799999999999E-3</v>
      </c>
      <c r="T134" s="135">
        <v>1.2835799999999999E-3</v>
      </c>
      <c r="U134" s="135">
        <v>1.4975099999999996E-3</v>
      </c>
      <c r="V134" s="135">
        <v>1.2835799999999999E-3</v>
      </c>
      <c r="W134" s="135">
        <v>1.2164400000000001E-3</v>
      </c>
      <c r="X134" s="135">
        <v>1.6994474999999999E-3</v>
      </c>
      <c r="Y134" s="135">
        <v>1.0576575E-3</v>
      </c>
      <c r="Z134" s="135">
        <v>1.6323075000000003E-3</v>
      </c>
      <c r="AA134" s="135">
        <v>1.6692075E-3</v>
      </c>
      <c r="AB134" s="135">
        <v>1.7545950000000005E-3</v>
      </c>
      <c r="AC134" s="135">
        <v>1.5958125000000002E-3</v>
      </c>
      <c r="AD134" s="135">
        <v>1.6140600000000001E-3</v>
      </c>
      <c r="AE134" s="135">
        <v>1.1310525E-3</v>
      </c>
      <c r="AF134" s="135">
        <v>8.437274999999998E-4</v>
      </c>
      <c r="AG134" s="135">
        <v>8.8062749999999988E-4</v>
      </c>
      <c r="AH134" s="135">
        <v>8.8062749999999988E-4</v>
      </c>
      <c r="AI134" s="338">
        <v>0</v>
      </c>
      <c r="AJ134" s="338">
        <f t="shared" si="82"/>
        <v>0</v>
      </c>
      <c r="AK134" s="338">
        <v>0</v>
      </c>
      <c r="AL134" s="338">
        <f t="shared" si="83"/>
        <v>0</v>
      </c>
      <c r="AM134" s="338">
        <f t="shared" si="84"/>
        <v>0</v>
      </c>
      <c r="AN134" s="338">
        <v>0</v>
      </c>
      <c r="AO134" s="338">
        <f t="shared" si="85"/>
        <v>0</v>
      </c>
      <c r="AP134" s="338">
        <v>0</v>
      </c>
    </row>
    <row r="135" spans="1:42">
      <c r="A135" s="136" t="s">
        <v>467</v>
      </c>
      <c r="B135" s="138">
        <v>16.913893873234155</v>
      </c>
      <c r="C135" s="138">
        <v>16.864013331866303</v>
      </c>
      <c r="D135" s="138">
        <v>18.060636078640332</v>
      </c>
      <c r="E135" s="138">
        <v>18.116903627555896</v>
      </c>
      <c r="F135" s="137">
        <v>17.667323452037515</v>
      </c>
      <c r="G135" s="137">
        <v>17.934944212612354</v>
      </c>
      <c r="H135" s="137">
        <v>18.999417744455418</v>
      </c>
      <c r="I135" s="137">
        <v>20.073826626399011</v>
      </c>
      <c r="J135" s="137">
        <v>21.669463423240693</v>
      </c>
      <c r="K135" s="137">
        <v>23.103723075011846</v>
      </c>
      <c r="L135" s="137">
        <v>23.905724020706568</v>
      </c>
      <c r="M135" s="137">
        <v>22.551473064735518</v>
      </c>
      <c r="N135" s="137">
        <v>22.396532534058448</v>
      </c>
      <c r="O135" s="137">
        <v>23.208912670141281</v>
      </c>
      <c r="P135" s="137">
        <v>25.421604560531886</v>
      </c>
      <c r="Q135" s="137">
        <v>24.832017117193725</v>
      </c>
      <c r="R135" s="137">
        <v>26.054264091334257</v>
      </c>
      <c r="S135" s="137">
        <v>26.931091139498243</v>
      </c>
      <c r="T135" s="137">
        <v>25.920764914505128</v>
      </c>
      <c r="U135" s="137">
        <v>24.477255514759761</v>
      </c>
      <c r="V135" s="137">
        <v>24.319685953310724</v>
      </c>
      <c r="W135" s="137">
        <v>25.73534876384754</v>
      </c>
      <c r="X135" s="137">
        <v>24.834769573787021</v>
      </c>
      <c r="Y135" s="137">
        <v>24.015829324723256</v>
      </c>
      <c r="Z135" s="137">
        <v>23.113597042642045</v>
      </c>
      <c r="AA135" s="137">
        <v>23.389689849993726</v>
      </c>
      <c r="AB135" s="137">
        <v>22.803932884444734</v>
      </c>
      <c r="AC135" s="137">
        <v>23.395370209906144</v>
      </c>
      <c r="AD135" s="137">
        <v>24.67768267427131</v>
      </c>
      <c r="AE135" s="137">
        <v>24.788154499257928</v>
      </c>
      <c r="AF135" s="137">
        <v>11.461953510581546</v>
      </c>
      <c r="AG135" s="137">
        <v>11.996205763908032</v>
      </c>
      <c r="AH135" s="137">
        <v>15.349960176561337</v>
      </c>
      <c r="AI135" s="351">
        <f t="shared" ref="AI135:AP135" si="86">SUM(AI131:AI134)</f>
        <v>18.843019011931375</v>
      </c>
      <c r="AJ135" s="351">
        <f t="shared" si="86"/>
        <v>21.305896364455673</v>
      </c>
      <c r="AK135" s="351">
        <f t="shared" si="86"/>
        <v>23.768773716979972</v>
      </c>
      <c r="AL135" s="351">
        <f t="shared" si="86"/>
        <v>23.720095437421516</v>
      </c>
      <c r="AM135" s="351">
        <f t="shared" si="86"/>
        <v>23.671417157863061</v>
      </c>
      <c r="AN135" s="351">
        <f t="shared" si="86"/>
        <v>23.622738878304606</v>
      </c>
      <c r="AO135" s="351">
        <f t="shared" si="86"/>
        <v>23.574063632724648</v>
      </c>
      <c r="AP135" s="351">
        <f t="shared" si="86"/>
        <v>23.525388387144691</v>
      </c>
    </row>
    <row r="136" spans="1:42" ht="15">
      <c r="A136" s="422"/>
      <c r="B136" s="422"/>
      <c r="C136" s="422"/>
      <c r="D136" s="422"/>
      <c r="E136" s="422"/>
      <c r="F136" s="422"/>
      <c r="G136" s="422"/>
      <c r="H136" s="422"/>
      <c r="I136" s="422"/>
      <c r="J136" s="422"/>
      <c r="K136" s="422"/>
      <c r="L136" s="422"/>
      <c r="M136" s="422"/>
      <c r="N136" s="422"/>
      <c r="O136" s="422"/>
      <c r="P136" s="422"/>
      <c r="Q136" s="422"/>
      <c r="R136" s="422"/>
      <c r="S136" s="422"/>
      <c r="T136" s="422"/>
      <c r="U136" s="422"/>
      <c r="V136" s="422"/>
      <c r="W136" s="422"/>
      <c r="X136" s="422"/>
      <c r="Y136" s="422"/>
      <c r="Z136" s="422"/>
      <c r="AA136" s="422"/>
      <c r="AB136" s="422"/>
      <c r="AC136" s="70"/>
      <c r="AD136" s="70"/>
      <c r="AE136" s="70"/>
      <c r="AF136" s="70"/>
      <c r="AG136" s="70"/>
      <c r="AH136" s="70"/>
    </row>
    <row r="137" spans="1:42">
      <c r="A137" s="139" t="s">
        <v>468</v>
      </c>
      <c r="B137" s="140"/>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430" t="s">
        <v>393</v>
      </c>
      <c r="AJ137" s="430"/>
      <c r="AK137" s="430"/>
      <c r="AL137" s="430"/>
      <c r="AM137" s="430"/>
      <c r="AN137" s="430"/>
      <c r="AO137" s="430"/>
      <c r="AP137" s="430"/>
    </row>
    <row r="138" spans="1:42" ht="105.6">
      <c r="A138" s="75" t="s">
        <v>394</v>
      </c>
      <c r="B138" s="76">
        <v>1990</v>
      </c>
      <c r="C138" s="76">
        <v>1991</v>
      </c>
      <c r="D138" s="76">
        <v>1992</v>
      </c>
      <c r="E138" s="76">
        <v>1993</v>
      </c>
      <c r="F138" s="76">
        <v>1994</v>
      </c>
      <c r="G138" s="76">
        <v>1995</v>
      </c>
      <c r="H138" s="76">
        <v>1996</v>
      </c>
      <c r="I138" s="76">
        <v>1997</v>
      </c>
      <c r="J138" s="76">
        <v>1998</v>
      </c>
      <c r="K138" s="76">
        <v>1999</v>
      </c>
      <c r="L138" s="76">
        <v>2000</v>
      </c>
      <c r="M138" s="76">
        <v>2001</v>
      </c>
      <c r="N138" s="76">
        <v>2002</v>
      </c>
      <c r="O138" s="76">
        <v>2003</v>
      </c>
      <c r="P138" s="76">
        <v>2004</v>
      </c>
      <c r="Q138" s="76">
        <v>2005</v>
      </c>
      <c r="R138" s="76">
        <v>2006</v>
      </c>
      <c r="S138" s="76">
        <v>2007</v>
      </c>
      <c r="T138" s="76">
        <v>2008</v>
      </c>
      <c r="U138" s="76">
        <v>2009</v>
      </c>
      <c r="V138" s="76">
        <v>2010</v>
      </c>
      <c r="W138" s="76">
        <v>2011</v>
      </c>
      <c r="X138" s="76">
        <v>2012</v>
      </c>
      <c r="Y138" s="76">
        <v>2013</v>
      </c>
      <c r="Z138" s="76">
        <v>2014</v>
      </c>
      <c r="AA138" s="76">
        <v>2015</v>
      </c>
      <c r="AB138" s="76">
        <v>2016</v>
      </c>
      <c r="AC138" s="76">
        <v>2017</v>
      </c>
      <c r="AD138" s="76">
        <v>2018</v>
      </c>
      <c r="AE138" s="76">
        <v>2019</v>
      </c>
      <c r="AF138" s="76">
        <v>2020</v>
      </c>
      <c r="AG138" s="77">
        <v>2021</v>
      </c>
      <c r="AH138" s="77" t="s">
        <v>395</v>
      </c>
      <c r="AI138" s="76">
        <v>2023</v>
      </c>
      <c r="AJ138" s="152">
        <v>2024</v>
      </c>
      <c r="AK138" s="76">
        <v>2025</v>
      </c>
      <c r="AL138" s="152">
        <v>2026</v>
      </c>
      <c r="AM138" s="152">
        <v>2027</v>
      </c>
      <c r="AN138" s="76">
        <v>2028</v>
      </c>
      <c r="AO138" s="152">
        <v>2029</v>
      </c>
      <c r="AP138" s="76">
        <v>2030</v>
      </c>
    </row>
    <row r="139" spans="1:42">
      <c r="A139" s="100" t="s">
        <v>102</v>
      </c>
      <c r="B139" s="92">
        <v>-36.172202465143791</v>
      </c>
      <c r="C139" s="92">
        <v>-37.784666159308749</v>
      </c>
      <c r="D139" s="92">
        <v>-37.667409551561967</v>
      </c>
      <c r="E139" s="92">
        <v>-42.504855134501049</v>
      </c>
      <c r="F139" s="92">
        <v>-42.842169962036145</v>
      </c>
      <c r="G139" s="92">
        <v>-45.084743157407679</v>
      </c>
      <c r="H139" s="92">
        <v>-51.944198012202108</v>
      </c>
      <c r="I139" s="92">
        <v>-51.299353348743352</v>
      </c>
      <c r="J139" s="92">
        <v>-52.188906372090855</v>
      </c>
      <c r="K139" s="92">
        <v>-55.220558540869568</v>
      </c>
      <c r="L139" s="92">
        <v>-35.857177104963284</v>
      </c>
      <c r="M139" s="92">
        <v>-49.581558997746903</v>
      </c>
      <c r="N139" s="92">
        <v>-59.37335230820468</v>
      </c>
      <c r="O139" s="92">
        <v>-62.438650442968772</v>
      </c>
      <c r="P139" s="92">
        <v>-64.789064720615301</v>
      </c>
      <c r="Q139" s="92">
        <v>-65.394072454144307</v>
      </c>
      <c r="R139" s="92">
        <v>-66.834573812466516</v>
      </c>
      <c r="S139" s="92">
        <v>-69.054789926051697</v>
      </c>
      <c r="T139" s="92">
        <v>-70.422972242817877</v>
      </c>
      <c r="U139" s="92">
        <v>-62.134120353945256</v>
      </c>
      <c r="V139" s="92">
        <v>-61.297091172491299</v>
      </c>
      <c r="W139" s="92">
        <v>-61.1328744382472</v>
      </c>
      <c r="X139" s="92">
        <v>-62.758050832771666</v>
      </c>
      <c r="Y139" s="92">
        <v>-71.605598244610036</v>
      </c>
      <c r="Z139" s="92">
        <v>-60.077256338781041</v>
      </c>
      <c r="AA139" s="92">
        <v>-56.351055461629279</v>
      </c>
      <c r="AB139" s="92">
        <v>-46.996641211539504</v>
      </c>
      <c r="AC139" s="92">
        <v>-36.196379795625433</v>
      </c>
      <c r="AD139" s="92">
        <v>-31.418485030181941</v>
      </c>
      <c r="AE139" s="92">
        <v>-28.761812082471906</v>
      </c>
      <c r="AF139" s="92">
        <v>-31.578124827700922</v>
      </c>
      <c r="AG139" s="92">
        <v>-27.733140603678397</v>
      </c>
      <c r="AH139" s="92">
        <v>-27.596827224077799</v>
      </c>
      <c r="AI139" s="338">
        <v>-17.508155100000749</v>
      </c>
      <c r="AJ139" s="338">
        <f>AI139+(AK139-AI139)/2</f>
        <v>-11.984424232490507</v>
      </c>
      <c r="AK139" s="338">
        <v>-6.4606933649802674</v>
      </c>
      <c r="AL139" s="338">
        <f>AK139+(AN139-AK139)/3</f>
        <v>-8.3612270788715559</v>
      </c>
      <c r="AM139" s="338">
        <f>AK139+(AN139-AK139)*2/3</f>
        <v>-10.261760792762846</v>
      </c>
      <c r="AN139" s="338">
        <v>-12.162294506654135</v>
      </c>
      <c r="AO139" s="338">
        <f>AN139+(AP139-AN139)/2</f>
        <v>-13.922930710082042</v>
      </c>
      <c r="AP139" s="338">
        <v>-15.683566913509949</v>
      </c>
    </row>
    <row r="140" spans="1:42">
      <c r="A140" s="100" t="s">
        <v>469</v>
      </c>
      <c r="B140" s="92">
        <v>25.703456932371385</v>
      </c>
      <c r="C140" s="92">
        <v>23.886956641395489</v>
      </c>
      <c r="D140" s="92">
        <v>23.100505746688238</v>
      </c>
      <c r="E140" s="92">
        <v>22.446060496648684</v>
      </c>
      <c r="F140" s="92">
        <v>21.62659808727582</v>
      </c>
      <c r="G140" s="92">
        <v>19.936858828368081</v>
      </c>
      <c r="H140" s="92">
        <v>18.660621401261558</v>
      </c>
      <c r="I140" s="92">
        <v>17.097851348662012</v>
      </c>
      <c r="J140" s="92">
        <v>16.164946417796031</v>
      </c>
      <c r="K140" s="92">
        <v>14.469079659220021</v>
      </c>
      <c r="L140" s="92">
        <v>12.502094087194035</v>
      </c>
      <c r="M140" s="92">
        <v>10.795112731587821</v>
      </c>
      <c r="N140" s="92">
        <v>9.3917412692640454</v>
      </c>
      <c r="O140" s="92">
        <v>8.2764142259528235</v>
      </c>
      <c r="P140" s="92">
        <v>9.5509665042480556</v>
      </c>
      <c r="Q140" s="92">
        <v>10.790987665050203</v>
      </c>
      <c r="R140" s="92">
        <v>13.492192535992881</v>
      </c>
      <c r="S140" s="92">
        <v>15.75790513530483</v>
      </c>
      <c r="T140" s="92">
        <v>17.491506961844252</v>
      </c>
      <c r="U140" s="92">
        <v>17.446648935223319</v>
      </c>
      <c r="V140" s="92">
        <v>16.066523127255429</v>
      </c>
      <c r="W140" s="92">
        <v>14.950912747055556</v>
      </c>
      <c r="X140" s="92">
        <v>12.813336041557406</v>
      </c>
      <c r="Y140" s="92">
        <v>13.546114833961145</v>
      </c>
      <c r="Z140" s="92">
        <v>11.805503143325961</v>
      </c>
      <c r="AA140" s="92">
        <v>11.893322840101016</v>
      </c>
      <c r="AB140" s="92">
        <v>9.6349523230437502</v>
      </c>
      <c r="AC140" s="92">
        <v>9.3121352785410547</v>
      </c>
      <c r="AD140" s="92">
        <v>8.3532565656112663</v>
      </c>
      <c r="AE140" s="92">
        <v>7.3276554103248035</v>
      </c>
      <c r="AF140" s="92">
        <v>6.843186549455452</v>
      </c>
      <c r="AG140" s="92">
        <v>7.6675961199359337</v>
      </c>
      <c r="AH140" s="92">
        <v>7.6675961199359337</v>
      </c>
      <c r="AI140" s="338">
        <v>7.2167101647667886</v>
      </c>
      <c r="AJ140" s="338">
        <f t="shared" ref="AJ140:AJ143" si="87">AI140+(AK140-AI140)/2</f>
        <v>7.671997996889079</v>
      </c>
      <c r="AK140" s="338">
        <v>8.1272858290113703</v>
      </c>
      <c r="AL140" s="338">
        <f t="shared" ref="AL140:AL143" si="88">AK140+(AN140-AK140)/3</f>
        <v>8.0632575980806873</v>
      </c>
      <c r="AM140" s="338">
        <f t="shared" ref="AM140:AM143" si="89">AK140+(AN140-AK140)*2/3</f>
        <v>7.9992293671500034</v>
      </c>
      <c r="AN140" s="338">
        <v>7.9352011362193204</v>
      </c>
      <c r="AO140" s="338">
        <f t="shared" ref="AO140:AO143" si="90">AN140+(AP140-AN140)/2</f>
        <v>7.891293998603226</v>
      </c>
      <c r="AP140" s="338">
        <v>7.8473868609871316</v>
      </c>
    </row>
    <row r="141" spans="1:42">
      <c r="A141" s="100" t="s">
        <v>470</v>
      </c>
      <c r="B141" s="92">
        <v>-6.8963844356412016</v>
      </c>
      <c r="C141" s="92">
        <v>-4.4131750079515459</v>
      </c>
      <c r="D141" s="92">
        <v>-3.9790167351301373</v>
      </c>
      <c r="E141" s="92">
        <v>-3.212004693835822</v>
      </c>
      <c r="F141" s="92">
        <v>-2.4299889251936126</v>
      </c>
      <c r="G141" s="92">
        <v>-1.1869613294745076</v>
      </c>
      <c r="H141" s="92">
        <v>-8.1312929268892997E-3</v>
      </c>
      <c r="I141" s="92">
        <v>0.56360801839530872</v>
      </c>
      <c r="J141" s="92">
        <v>1.0093077058998892</v>
      </c>
      <c r="K141" s="92">
        <v>1.5852161415042363</v>
      </c>
      <c r="L141" s="92">
        <v>1.8684654574476993</v>
      </c>
      <c r="M141" s="92">
        <v>1.9893150763471426</v>
      </c>
      <c r="N141" s="92">
        <v>1.8707189355676415</v>
      </c>
      <c r="O141" s="92">
        <v>1.2792053120174698</v>
      </c>
      <c r="P141" s="92">
        <v>1.105593716931546</v>
      </c>
      <c r="Q141" s="92">
        <v>0.85628731393870994</v>
      </c>
      <c r="R141" s="92">
        <v>0.76737640539877394</v>
      </c>
      <c r="S141" s="92">
        <v>2.2412872693954418</v>
      </c>
      <c r="T141" s="92">
        <v>1.7790656904478579</v>
      </c>
      <c r="U141" s="92">
        <v>1.8552122033895815</v>
      </c>
      <c r="V141" s="92">
        <v>1.5901317618940711</v>
      </c>
      <c r="W141" s="92">
        <v>1.7530253979799459</v>
      </c>
      <c r="X141" s="92">
        <v>0.58306401266189112</v>
      </c>
      <c r="Y141" s="92">
        <v>6.9497662860878266</v>
      </c>
      <c r="Z141" s="92">
        <v>2.1840397793906035</v>
      </c>
      <c r="AA141" s="92">
        <v>2.0442330937265809</v>
      </c>
      <c r="AB141" s="92">
        <v>1.7469617311072168</v>
      </c>
      <c r="AC141" s="92">
        <v>1.0796831676558312</v>
      </c>
      <c r="AD141" s="92">
        <v>-1.3166676477492869</v>
      </c>
      <c r="AE141" s="92">
        <v>-1.5167075626620303</v>
      </c>
      <c r="AF141" s="92">
        <v>-1.3400283798046264</v>
      </c>
      <c r="AG141" s="92">
        <v>-1.3447943778864</v>
      </c>
      <c r="AH141" s="92">
        <v>-1.3447943778863993</v>
      </c>
      <c r="AI141" s="338">
        <v>-3.7680557076771759</v>
      </c>
      <c r="AJ141" s="338">
        <f t="shared" si="87"/>
        <v>-3.9054329814309128</v>
      </c>
      <c r="AK141" s="338">
        <v>-4.0428102551846496</v>
      </c>
      <c r="AL141" s="338">
        <f t="shared" si="88"/>
        <v>-4.3354878832707877</v>
      </c>
      <c r="AM141" s="338">
        <f t="shared" si="89"/>
        <v>-4.6281655113569267</v>
      </c>
      <c r="AN141" s="338">
        <v>-4.9208431394430647</v>
      </c>
      <c r="AO141" s="338">
        <f t="shared" si="90"/>
        <v>-5.2597302493962292</v>
      </c>
      <c r="AP141" s="338">
        <v>-5.5986173593493929</v>
      </c>
    </row>
    <row r="142" spans="1:42">
      <c r="A142" s="100" t="s">
        <v>104</v>
      </c>
      <c r="B142" s="92">
        <v>0.29870142612161543</v>
      </c>
      <c r="C142" s="92">
        <v>0.3157090363839487</v>
      </c>
      <c r="D142" s="92">
        <v>0.32222286447528209</v>
      </c>
      <c r="E142" s="92">
        <v>0.32867613430828213</v>
      </c>
      <c r="F142" s="92">
        <v>0.33603024281861532</v>
      </c>
      <c r="G142" s="92">
        <v>0.34176181427594876</v>
      </c>
      <c r="H142" s="92">
        <v>0.34990285268728205</v>
      </c>
      <c r="I142" s="92">
        <v>0.36195162190594882</v>
      </c>
      <c r="J142" s="92">
        <v>0.36867031734328209</v>
      </c>
      <c r="K142" s="92">
        <v>0.37928263313561539</v>
      </c>
      <c r="L142" s="92">
        <v>0.37503456710728211</v>
      </c>
      <c r="M142" s="92">
        <v>0.37845409998628204</v>
      </c>
      <c r="N142" s="92">
        <v>0.38048613776694878</v>
      </c>
      <c r="O142" s="92">
        <v>0.39265241171561538</v>
      </c>
      <c r="P142" s="92">
        <v>0.40278421911794871</v>
      </c>
      <c r="Q142" s="92">
        <v>0.40565600121894868</v>
      </c>
      <c r="R142" s="92">
        <v>0.40009555040728206</v>
      </c>
      <c r="S142" s="92">
        <v>0.43284899490861545</v>
      </c>
      <c r="T142" s="92">
        <v>0.4305490437942821</v>
      </c>
      <c r="U142" s="92">
        <v>0.45996457904949778</v>
      </c>
      <c r="V142" s="92">
        <v>0.46727839490016437</v>
      </c>
      <c r="W142" s="92">
        <v>0.46643202791749772</v>
      </c>
      <c r="X142" s="92">
        <v>0.45327707851516441</v>
      </c>
      <c r="Y142" s="92">
        <v>0.61292647444549764</v>
      </c>
      <c r="Z142" s="92">
        <v>0.61076418010383116</v>
      </c>
      <c r="AA142" s="92">
        <v>0.65864264193283106</v>
      </c>
      <c r="AB142" s="92">
        <v>0.64713452410658001</v>
      </c>
      <c r="AC142" s="92">
        <v>0.65006027493357987</v>
      </c>
      <c r="AD142" s="92">
        <v>0.60831183820624668</v>
      </c>
      <c r="AE142" s="92">
        <v>0.57706503545557997</v>
      </c>
      <c r="AF142" s="92">
        <v>0.54884497956224654</v>
      </c>
      <c r="AG142" s="92">
        <v>0.52189905251791324</v>
      </c>
      <c r="AH142" s="92">
        <v>0.52189905251791324</v>
      </c>
      <c r="AI142" s="338">
        <v>0.50349542101212097</v>
      </c>
      <c r="AJ142" s="338">
        <f t="shared" si="87"/>
        <v>0.50838738873510381</v>
      </c>
      <c r="AK142" s="338">
        <v>0.51327935645808653</v>
      </c>
      <c r="AL142" s="338">
        <f t="shared" si="88"/>
        <v>0.51489310168810143</v>
      </c>
      <c r="AM142" s="338">
        <f t="shared" si="89"/>
        <v>0.51650684691811644</v>
      </c>
      <c r="AN142" s="338">
        <v>0.51812059214813133</v>
      </c>
      <c r="AO142" s="338">
        <f t="shared" si="90"/>
        <v>0.5185654532008358</v>
      </c>
      <c r="AP142" s="338">
        <v>0.51901031425354027</v>
      </c>
    </row>
    <row r="143" spans="1:42" ht="24">
      <c r="A143" s="100" t="s">
        <v>105</v>
      </c>
      <c r="B143" s="92">
        <v>5.0905741547364061</v>
      </c>
      <c r="C143" s="92">
        <v>5.6161780056727082</v>
      </c>
      <c r="D143" s="92">
        <v>6.1114343959540092</v>
      </c>
      <c r="E143" s="92">
        <v>5.6935516828083106</v>
      </c>
      <c r="F143" s="92">
        <v>5.092282576674612</v>
      </c>
      <c r="G143" s="92">
        <v>4.5817527872345787</v>
      </c>
      <c r="H143" s="92">
        <v>4.5966979517658801</v>
      </c>
      <c r="I143" s="92">
        <v>4.5733674534411817</v>
      </c>
      <c r="J143" s="92">
        <v>4.5277919756848162</v>
      </c>
      <c r="K143" s="92">
        <v>4.5429082502521174</v>
      </c>
      <c r="L143" s="92">
        <v>3.9988943709787526</v>
      </c>
      <c r="M143" s="92">
        <v>5.6069113149167196</v>
      </c>
      <c r="N143" s="92">
        <v>6.0780502101500202</v>
      </c>
      <c r="O143" s="92">
        <v>6.2044507488383207</v>
      </c>
      <c r="P143" s="92">
        <v>6.1798650544356226</v>
      </c>
      <c r="Q143" s="92">
        <v>6.0185636194882575</v>
      </c>
      <c r="R143" s="92">
        <v>5.0306167469978931</v>
      </c>
      <c r="S143" s="92">
        <v>6.1809212029528595</v>
      </c>
      <c r="T143" s="92">
        <v>5.7482076048001618</v>
      </c>
      <c r="U143" s="92">
        <v>5.3666622106184398</v>
      </c>
      <c r="V143" s="92">
        <v>5.1439905271183681</v>
      </c>
      <c r="W143" s="92">
        <v>4.8961411287936292</v>
      </c>
      <c r="X143" s="92">
        <v>4.3304651119238899</v>
      </c>
      <c r="Y143" s="92">
        <v>6.7927183287704835</v>
      </c>
      <c r="Z143" s="92">
        <v>5.9884521045714116</v>
      </c>
      <c r="AA143" s="92">
        <v>5.8004843286653403</v>
      </c>
      <c r="AB143" s="92">
        <v>5.4992675370860553</v>
      </c>
      <c r="AC143" s="92">
        <v>5.2767295481561494</v>
      </c>
      <c r="AD143" s="92">
        <v>4.741161347364244</v>
      </c>
      <c r="AE143" s="92">
        <v>4.506825302564339</v>
      </c>
      <c r="AF143" s="92">
        <v>4.5792571249511003</v>
      </c>
      <c r="AG143" s="92">
        <v>4.8293256850835267</v>
      </c>
      <c r="AH143" s="92">
        <v>4.8293256850835267</v>
      </c>
      <c r="AI143" s="338">
        <v>3.8672787160695679</v>
      </c>
      <c r="AJ143" s="338">
        <f t="shared" si="87"/>
        <v>3.7931858789509527</v>
      </c>
      <c r="AK143" s="338">
        <v>3.7190930418323376</v>
      </c>
      <c r="AL143" s="338">
        <f t="shared" si="88"/>
        <v>3.6429660088159981</v>
      </c>
      <c r="AM143" s="338">
        <f t="shared" si="89"/>
        <v>3.5668389757996586</v>
      </c>
      <c r="AN143" s="338">
        <v>3.4907119427833191</v>
      </c>
      <c r="AO143" s="338">
        <f t="shared" si="90"/>
        <v>3.4118281050700983</v>
      </c>
      <c r="AP143" s="338">
        <v>3.3329442673568779</v>
      </c>
    </row>
    <row r="144" spans="1:42">
      <c r="A144" s="100" t="s">
        <v>471</v>
      </c>
      <c r="B144" s="92">
        <v>9.5842595000999994E-2</v>
      </c>
      <c r="C144" s="92">
        <v>9.5691914655000015E-2</v>
      </c>
      <c r="D144" s="92">
        <v>9.4166872963000012E-2</v>
      </c>
      <c r="E144" s="92">
        <v>9.3332465011666657E-2</v>
      </c>
      <c r="F144" s="92">
        <v>9.1537944917E-2</v>
      </c>
      <c r="G144" s="92">
        <v>9.6246163031666665E-2</v>
      </c>
      <c r="H144" s="92">
        <v>9.6313058488333325E-2</v>
      </c>
      <c r="I144" s="92">
        <v>9.929172230366666E-2</v>
      </c>
      <c r="J144" s="92">
        <v>0.10254530493966667</v>
      </c>
      <c r="K144" s="92">
        <v>0.10383959736133332</v>
      </c>
      <c r="L144" s="92">
        <v>0.10360945576400002</v>
      </c>
      <c r="M144" s="92">
        <v>0.10794082952600001</v>
      </c>
      <c r="N144" s="92">
        <v>0.10671410279700001</v>
      </c>
      <c r="O144" s="92">
        <v>0.10716499393099999</v>
      </c>
      <c r="P144" s="92">
        <v>0.10757007248799999</v>
      </c>
      <c r="Q144" s="92">
        <v>0.10624882310266667</v>
      </c>
      <c r="R144" s="92">
        <v>0.10449602188866666</v>
      </c>
      <c r="S144" s="92">
        <v>0.10655935572733331</v>
      </c>
      <c r="T144" s="92">
        <v>0.10304625507533334</v>
      </c>
      <c r="U144" s="92">
        <v>0.10246844354933334</v>
      </c>
      <c r="V144" s="92">
        <v>0.10398355899933334</v>
      </c>
      <c r="W144" s="92">
        <v>0.10209081480633332</v>
      </c>
      <c r="X144" s="92">
        <v>0.10032218979733332</v>
      </c>
      <c r="Y144" s="92">
        <v>0.11572312335666665</v>
      </c>
      <c r="Z144" s="92">
        <v>0.11528718556766668</v>
      </c>
      <c r="AA144" s="92">
        <v>0.10772531807733332</v>
      </c>
      <c r="AB144" s="92">
        <v>0.10185548727300001</v>
      </c>
      <c r="AC144" s="92">
        <v>9.6554077333999996E-2</v>
      </c>
      <c r="AD144" s="92">
        <v>9.6563339552999991E-2</v>
      </c>
      <c r="AE144" s="92">
        <v>9.3442773453333322E-2</v>
      </c>
      <c r="AF144" s="92">
        <v>9.2942536072000009E-2</v>
      </c>
      <c r="AG144" s="92">
        <v>9.2768031046666671E-2</v>
      </c>
      <c r="AH144" s="92">
        <v>9.2768031046666671E-2</v>
      </c>
      <c r="AI144" s="338">
        <v>9.2942536071999995E-2</v>
      </c>
      <c r="AJ144" s="338">
        <f>AI144+(AK144-AI144)/2</f>
        <v>9.2942536071999995E-2</v>
      </c>
      <c r="AK144" s="338">
        <v>9.2942536071999995E-2</v>
      </c>
      <c r="AL144" s="338">
        <f>AK144+(AN144-AK144)/3</f>
        <v>9.2942536071999995E-2</v>
      </c>
      <c r="AM144" s="338">
        <f>AK144+(AN144-AK144)*2/3</f>
        <v>9.2942536071999995E-2</v>
      </c>
      <c r="AN144" s="338">
        <v>9.2942536071999995E-2</v>
      </c>
      <c r="AO144" s="338">
        <f>AN144+(AP144-AN144)/2</f>
        <v>9.2942536071999995E-2</v>
      </c>
      <c r="AP144" s="338">
        <v>9.2942536071999995E-2</v>
      </c>
    </row>
    <row r="145" spans="1:63">
      <c r="A145" s="100" t="s">
        <v>207</v>
      </c>
      <c r="B145" s="92">
        <v>-5.23961446088048</v>
      </c>
      <c r="C145" s="92">
        <v>-4.9640151434756907</v>
      </c>
      <c r="D145" s="92">
        <v>-3.000370254642498</v>
      </c>
      <c r="E145" s="92">
        <v>-1.8186973349242244</v>
      </c>
      <c r="F145" s="92">
        <v>-2.7100637310497739</v>
      </c>
      <c r="G145" s="92">
        <v>-3.0902392092172284</v>
      </c>
      <c r="H145" s="92">
        <v>-2.5588244007340868</v>
      </c>
      <c r="I145" s="92">
        <v>-3.174379110446897</v>
      </c>
      <c r="J145" s="92">
        <v>-3.7296033091240122</v>
      </c>
      <c r="K145" s="92">
        <v>-3.881652582379977</v>
      </c>
      <c r="L145" s="92">
        <v>-4.4946362774911783</v>
      </c>
      <c r="M145" s="92">
        <v>-4.1873852100648872</v>
      </c>
      <c r="N145" s="92">
        <v>-3.0769241956560847</v>
      </c>
      <c r="O145" s="92">
        <v>-2.951940476667493</v>
      </c>
      <c r="P145" s="92">
        <v>-3.5875808734946451</v>
      </c>
      <c r="Q145" s="92">
        <v>-4.1475101018719931</v>
      </c>
      <c r="R145" s="92">
        <v>-4.2964167384414935</v>
      </c>
      <c r="S145" s="92">
        <v>-4.7469237120440333</v>
      </c>
      <c r="T145" s="92">
        <v>-3.5033635776057213</v>
      </c>
      <c r="U145" s="92">
        <v>-1.395982277707865</v>
      </c>
      <c r="V145" s="92">
        <v>-3.2112979603406204</v>
      </c>
      <c r="W145" s="92">
        <v>-3.8917210991040623</v>
      </c>
      <c r="X145" s="92">
        <v>-2.7667519761423573</v>
      </c>
      <c r="Y145" s="92">
        <v>-2.2235735712183069</v>
      </c>
      <c r="Z145" s="92">
        <v>-2.0577455521797261</v>
      </c>
      <c r="AA145" s="92">
        <v>-1.4838433669493269</v>
      </c>
      <c r="AB145" s="92">
        <v>-1.1327313364827729</v>
      </c>
      <c r="AC145" s="92">
        <v>-1.1158966896798947</v>
      </c>
      <c r="AD145" s="92">
        <v>-1.0131913196556337</v>
      </c>
      <c r="AE145" s="92">
        <v>-0.74371185143501906</v>
      </c>
      <c r="AF145" s="92">
        <v>-1.0521032632586591</v>
      </c>
      <c r="AG145" s="92">
        <v>-1.367942720172743</v>
      </c>
      <c r="AH145" s="92">
        <v>-1.367942720172743</v>
      </c>
      <c r="AI145" s="338">
        <v>-3.926043881762356</v>
      </c>
      <c r="AJ145" s="338">
        <f t="shared" ref="AJ145:AJ146" si="91">AI145+(AK145-AI145)/2</f>
        <v>-4.8961468455447639</v>
      </c>
      <c r="AK145" s="338">
        <v>-5.8662498093271722</v>
      </c>
      <c r="AL145" s="338">
        <f t="shared" ref="AL145:AL146" si="92">AK145+(AN145-AK145)/3</f>
        <v>-6.4790703430858869</v>
      </c>
      <c r="AM145" s="338">
        <f t="shared" ref="AM145:AM146" si="93">AK145+(AN145-AK145)*2/3</f>
        <v>-7.0918908768446007</v>
      </c>
      <c r="AN145" s="338">
        <v>-7.7047114106033154</v>
      </c>
      <c r="AO145" s="338">
        <f t="shared" ref="AO145:AO146" si="94">AN145+(AP145-AN145)/2</f>
        <v>-8.2940120177769199</v>
      </c>
      <c r="AP145" s="338">
        <v>-8.8833126249505234</v>
      </c>
    </row>
    <row r="146" spans="1:63">
      <c r="A146" s="100" t="s">
        <v>472</v>
      </c>
      <c r="B146" s="92">
        <v>0</v>
      </c>
      <c r="C146" s="92">
        <v>0</v>
      </c>
      <c r="D146" s="92">
        <v>0</v>
      </c>
      <c r="E146" s="92">
        <v>0</v>
      </c>
      <c r="F146" s="92">
        <v>3.7664266666666668</v>
      </c>
      <c r="G146" s="92">
        <v>4.2387370000000004</v>
      </c>
      <c r="H146" s="92">
        <v>3.2963580000000006</v>
      </c>
      <c r="I146" s="92">
        <v>2.5967243333333334</v>
      </c>
      <c r="J146" s="92">
        <v>2.0741570000000005</v>
      </c>
      <c r="K146" s="92">
        <v>1.6811896666666666</v>
      </c>
      <c r="L146" s="92">
        <v>1.3834846666666669</v>
      </c>
      <c r="M146" s="92">
        <v>1.1560966666666666</v>
      </c>
      <c r="N146" s="92">
        <v>0.98093466666666662</v>
      </c>
      <c r="O146" s="92">
        <v>0.84469400000000006</v>
      </c>
      <c r="P146" s="92">
        <v>0.73778533333333329</v>
      </c>
      <c r="Q146" s="92">
        <v>0.65306966666666666</v>
      </c>
      <c r="R146" s="92">
        <v>0.58528733333333327</v>
      </c>
      <c r="S146" s="92">
        <v>0.53052433333333315</v>
      </c>
      <c r="T146" s="92">
        <v>0.48593266666666662</v>
      </c>
      <c r="U146" s="92">
        <v>0.44926033333333337</v>
      </c>
      <c r="V146" s="92">
        <v>0.41890333333333329</v>
      </c>
      <c r="W146" s="92">
        <v>0.39356666666666662</v>
      </c>
      <c r="X146" s="92">
        <v>0.37231633333333336</v>
      </c>
      <c r="Y146" s="92">
        <v>0.35438166666666665</v>
      </c>
      <c r="Z146" s="92">
        <v>0.33913333333333334</v>
      </c>
      <c r="AA146" s="92">
        <v>0.32614633333333332</v>
      </c>
      <c r="AB146" s="92">
        <v>0.31504766666666673</v>
      </c>
      <c r="AC146" s="92">
        <v>0.30553833333333336</v>
      </c>
      <c r="AD146" s="92">
        <v>0.29733766666666672</v>
      </c>
      <c r="AE146" s="92">
        <v>0.29027266666666662</v>
      </c>
      <c r="AF146" s="92">
        <v>0.2841703333333333</v>
      </c>
      <c r="AG146" s="92">
        <v>0.27916000000000002</v>
      </c>
      <c r="AH146" s="92">
        <v>0.27916000000000002</v>
      </c>
      <c r="AI146" s="338">
        <v>0.27035433333333331</v>
      </c>
      <c r="AJ146" s="338">
        <f t="shared" si="91"/>
        <v>0.267119</v>
      </c>
      <c r="AK146" s="338">
        <v>0.26388366666666668</v>
      </c>
      <c r="AL146" s="338">
        <f t="shared" si="92"/>
        <v>0.26160377777777777</v>
      </c>
      <c r="AM146" s="338">
        <f t="shared" si="93"/>
        <v>0.25932388888888891</v>
      </c>
      <c r="AN146" s="338">
        <v>0.25704399999999999</v>
      </c>
      <c r="AO146" s="338">
        <f t="shared" si="94"/>
        <v>0.25544716666666667</v>
      </c>
      <c r="AP146" s="338">
        <v>0.25385033333333334</v>
      </c>
    </row>
    <row r="147" spans="1:63">
      <c r="A147" s="141" t="s">
        <v>473</v>
      </c>
      <c r="B147" s="142">
        <v>-17.119626253435069</v>
      </c>
      <c r="C147" s="142">
        <v>-17.247320712628841</v>
      </c>
      <c r="D147" s="142">
        <v>-15.018466661254072</v>
      </c>
      <c r="E147" s="142">
        <v>-18.973936384484151</v>
      </c>
      <c r="F147" s="142">
        <v>-17.069347099926816</v>
      </c>
      <c r="G147" s="142">
        <v>-20.166587103189141</v>
      </c>
      <c r="H147" s="142">
        <v>-27.511260441660031</v>
      </c>
      <c r="I147" s="142">
        <v>-29.180937961148796</v>
      </c>
      <c r="J147" s="142">
        <v>-31.671090959551186</v>
      </c>
      <c r="K147" s="142">
        <v>-36.340695175109552</v>
      </c>
      <c r="L147" s="142">
        <v>-20.120230777296026</v>
      </c>
      <c r="M147" s="142">
        <v>-33.735113488781153</v>
      </c>
      <c r="N147" s="142">
        <v>-43.641631181648435</v>
      </c>
      <c r="O147" s="142">
        <v>-48.28600922718104</v>
      </c>
      <c r="P147" s="142">
        <v>-50.292080693555441</v>
      </c>
      <c r="Q147" s="142">
        <v>-50.71076946655085</v>
      </c>
      <c r="R147" s="142">
        <v>-50.750925956889184</v>
      </c>
      <c r="S147" s="142">
        <v>-48.551667346473309</v>
      </c>
      <c r="T147" s="142">
        <v>-47.888027597795045</v>
      </c>
      <c r="U147" s="142">
        <v>-37.849885926489613</v>
      </c>
      <c r="V147" s="142">
        <v>-40.717578429331226</v>
      </c>
      <c r="W147" s="142">
        <v>-42.462426754131634</v>
      </c>
      <c r="X147" s="142">
        <v>-46.872022041125007</v>
      </c>
      <c r="Y147" s="142">
        <v>-45.457541102540063</v>
      </c>
      <c r="Z147" s="142">
        <v>-41.09182216466796</v>
      </c>
      <c r="AA147" s="142">
        <v>-37.004344272742173</v>
      </c>
      <c r="AB147" s="142">
        <v>-30.184153278739004</v>
      </c>
      <c r="AC147" s="142">
        <v>-20.591575805351379</v>
      </c>
      <c r="AD147" s="142">
        <v>-19.651713240185433</v>
      </c>
      <c r="AE147" s="142">
        <v>-18.226970308104239</v>
      </c>
      <c r="AF147" s="142">
        <v>-21.621854947390073</v>
      </c>
      <c r="AG147" s="142">
        <v>-17.055128813153498</v>
      </c>
      <c r="AH147" s="142">
        <v>-16.918815433552901</v>
      </c>
      <c r="AI147" s="352">
        <v>-13.251473518186472</v>
      </c>
      <c r="AJ147" s="352">
        <f>SUM(AJ139:AJ146)</f>
        <v>-8.4523712588190492</v>
      </c>
      <c r="AK147" s="352">
        <f>SUM(AK139:AK146)</f>
        <v>-3.6532689994516283</v>
      </c>
      <c r="AL147" s="352">
        <f t="shared" ref="AL147:AP147" si="95">SUM(AL139:AL146)</f>
        <v>-6.6001222827936665</v>
      </c>
      <c r="AM147" s="352">
        <f t="shared" si="95"/>
        <v>-9.546975566135707</v>
      </c>
      <c r="AN147" s="352">
        <f t="shared" si="95"/>
        <v>-12.493828849477744</v>
      </c>
      <c r="AO147" s="352">
        <f t="shared" si="95"/>
        <v>-15.306595717642365</v>
      </c>
      <c r="AP147" s="352">
        <f t="shared" si="95"/>
        <v>-18.119362585806982</v>
      </c>
    </row>
    <row r="150" spans="1:63" ht="18">
      <c r="A150" s="74"/>
      <c r="B150" s="73" t="s">
        <v>474</v>
      </c>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4"/>
      <c r="BH150" s="74"/>
      <c r="BI150" s="74"/>
      <c r="BJ150" s="74"/>
      <c r="BK150" s="74"/>
    </row>
    <row r="152" spans="1:63" ht="105.6">
      <c r="A152" s="75" t="s">
        <v>394</v>
      </c>
      <c r="B152" s="76">
        <v>1990</v>
      </c>
      <c r="C152" s="76">
        <v>1991</v>
      </c>
      <c r="D152" s="76">
        <v>1992</v>
      </c>
      <c r="E152" s="76">
        <v>1993</v>
      </c>
      <c r="F152" s="76">
        <v>1994</v>
      </c>
      <c r="G152" s="76">
        <v>1995</v>
      </c>
      <c r="H152" s="76">
        <v>1996</v>
      </c>
      <c r="I152" s="76">
        <v>1997</v>
      </c>
      <c r="J152" s="76">
        <v>1998</v>
      </c>
      <c r="K152" s="76">
        <v>1999</v>
      </c>
      <c r="L152" s="76">
        <v>2000</v>
      </c>
      <c r="M152" s="76">
        <v>2001</v>
      </c>
      <c r="N152" s="76">
        <v>2002</v>
      </c>
      <c r="O152" s="76">
        <v>2003</v>
      </c>
      <c r="P152" s="76">
        <v>2004</v>
      </c>
      <c r="Q152" s="76">
        <v>2005</v>
      </c>
      <c r="R152" s="76">
        <v>2006</v>
      </c>
      <c r="S152" s="76">
        <v>2007</v>
      </c>
      <c r="T152" s="76">
        <v>2008</v>
      </c>
      <c r="U152" s="76">
        <v>2009</v>
      </c>
      <c r="V152" s="76">
        <v>2010</v>
      </c>
      <c r="W152" s="76">
        <v>2011</v>
      </c>
      <c r="X152" s="76">
        <v>2012</v>
      </c>
      <c r="Y152" s="76">
        <v>2013</v>
      </c>
      <c r="Z152" s="76">
        <v>2014</v>
      </c>
      <c r="AA152" s="76">
        <v>2015</v>
      </c>
      <c r="AB152" s="76">
        <v>2016</v>
      </c>
      <c r="AC152" s="76">
        <v>2017</v>
      </c>
      <c r="AD152" s="76">
        <v>2018</v>
      </c>
      <c r="AE152" s="76">
        <v>2019</v>
      </c>
      <c r="AF152" s="76">
        <v>2020</v>
      </c>
      <c r="AG152" s="77">
        <v>2021</v>
      </c>
      <c r="AH152" s="77" t="s">
        <v>395</v>
      </c>
      <c r="AI152" s="76">
        <v>2023</v>
      </c>
      <c r="AJ152" s="152">
        <v>2024</v>
      </c>
      <c r="AK152" s="76">
        <v>2025</v>
      </c>
      <c r="AL152" s="152">
        <v>2026</v>
      </c>
      <c r="AM152" s="152">
        <v>2027</v>
      </c>
      <c r="AN152" s="76">
        <v>2028</v>
      </c>
      <c r="AO152" s="152">
        <v>2029</v>
      </c>
      <c r="AP152" s="76">
        <v>2030</v>
      </c>
    </row>
    <row r="153" spans="1:63" ht="36">
      <c r="A153" s="100" t="s">
        <v>361</v>
      </c>
      <c r="B153" s="92">
        <v>214.49812633101226</v>
      </c>
      <c r="C153" s="92">
        <v>225.17300531071291</v>
      </c>
      <c r="D153" s="92">
        <v>223.09757412810029</v>
      </c>
      <c r="E153" s="92">
        <v>220.79652612673573</v>
      </c>
      <c r="F153" s="92">
        <v>213.57341825455026</v>
      </c>
      <c r="G153" s="92">
        <v>217.34126699202508</v>
      </c>
      <c r="H153" s="92">
        <v>223.06602924895054</v>
      </c>
      <c r="I153" s="92">
        <v>221.82858376838067</v>
      </c>
      <c r="J153" s="92">
        <v>227.21023142440183</v>
      </c>
      <c r="K153" s="92">
        <v>225.43590738312568</v>
      </c>
      <c r="L153" s="92">
        <v>216.59638926095599</v>
      </c>
      <c r="M153" s="92">
        <v>226.54611592041974</v>
      </c>
      <c r="N153" s="92">
        <v>222.22007335329445</v>
      </c>
      <c r="O153" s="92">
        <v>224.01461796666982</v>
      </c>
      <c r="P153" s="92">
        <v>223.5021133260332</v>
      </c>
      <c r="Q153" s="92">
        <v>220.58428231151041</v>
      </c>
      <c r="R153" s="92">
        <v>215.12480104750475</v>
      </c>
      <c r="S153" s="92">
        <v>206.53974981139788</v>
      </c>
      <c r="T153" s="92">
        <v>202.82622811016887</v>
      </c>
      <c r="U153" s="92">
        <v>199.68176786334516</v>
      </c>
      <c r="V153" s="92">
        <v>195.76871381719121</v>
      </c>
      <c r="W153" s="92">
        <v>189.63801428743523</v>
      </c>
      <c r="X153" s="92">
        <v>186.51403141257066</v>
      </c>
      <c r="Y153" s="92">
        <v>185.2294391553578</v>
      </c>
      <c r="Z153" s="92">
        <v>179.29895002673476</v>
      </c>
      <c r="AA153" s="92">
        <v>181.62313827469049</v>
      </c>
      <c r="AB153" s="92">
        <v>178.50230744665097</v>
      </c>
      <c r="AC153" s="92">
        <v>178.20018099396498</v>
      </c>
      <c r="AD153" s="92">
        <v>172.18485838987803</v>
      </c>
      <c r="AE153" s="92">
        <v>169.87278247924104</v>
      </c>
      <c r="AF153" s="92">
        <v>149.19103305762002</v>
      </c>
      <c r="AG153" s="92">
        <v>162.62291835222058</v>
      </c>
      <c r="AH153" s="437"/>
      <c r="AI153" s="438"/>
      <c r="AJ153" s="438"/>
      <c r="AK153" s="438"/>
      <c r="AL153" s="438"/>
      <c r="AM153" s="438"/>
      <c r="AN153" s="438"/>
      <c r="AO153" s="439"/>
      <c r="AP153" s="333">
        <v>100.6263779527559</v>
      </c>
    </row>
    <row r="154" spans="1:63" ht="36">
      <c r="A154" s="100" t="s">
        <v>362</v>
      </c>
      <c r="B154" s="92">
        <v>85.442145360595319</v>
      </c>
      <c r="C154" s="92">
        <v>94.585201952446766</v>
      </c>
      <c r="D154" s="92">
        <v>95.697951078966085</v>
      </c>
      <c r="E154" s="92">
        <v>95.080948507133286</v>
      </c>
      <c r="F154" s="92">
        <v>94.826321787584192</v>
      </c>
      <c r="G154" s="92">
        <v>94.823835113186831</v>
      </c>
      <c r="H154" s="92">
        <v>103.07393423515406</v>
      </c>
      <c r="I154" s="92">
        <v>103.26318762418626</v>
      </c>
      <c r="J154" s="92">
        <v>107.21976397320348</v>
      </c>
      <c r="K154" s="92">
        <v>111.2142952117631</v>
      </c>
      <c r="L154" s="92">
        <v>114.78381712420997</v>
      </c>
      <c r="M154" s="92">
        <v>116.80634682823811</v>
      </c>
      <c r="N154" s="92">
        <v>116.29408197069633</v>
      </c>
      <c r="O154" s="92">
        <v>119.08899064415701</v>
      </c>
      <c r="P154" s="92">
        <v>120.45024444028485</v>
      </c>
      <c r="Q154" s="92">
        <v>122.21709002989404</v>
      </c>
      <c r="R154" s="92">
        <v>119.7160553148714</v>
      </c>
      <c r="S154" s="92">
        <v>115.11963538465595</v>
      </c>
      <c r="T154" s="92">
        <v>118.47826449605392</v>
      </c>
      <c r="U154" s="92">
        <v>114.79430938591115</v>
      </c>
      <c r="V154" s="92">
        <v>121.01427577702236</v>
      </c>
      <c r="W154" s="92">
        <v>111.23096615878038</v>
      </c>
      <c r="X154" s="92">
        <v>114.04097281608874</v>
      </c>
      <c r="Y154" s="92">
        <v>114.06914760373078</v>
      </c>
      <c r="Z154" s="92">
        <v>98.533022644561498</v>
      </c>
      <c r="AA154" s="92">
        <v>103.26092214375959</v>
      </c>
      <c r="AB154" s="92">
        <v>110.1918773900108</v>
      </c>
      <c r="AC154" s="92">
        <v>110.04389228601046</v>
      </c>
      <c r="AD154" s="92">
        <v>105.40280080642687</v>
      </c>
      <c r="AE154" s="92">
        <v>107.13905417051831</v>
      </c>
      <c r="AF154" s="92">
        <v>97.705018369692084</v>
      </c>
      <c r="AG154" s="92">
        <v>103.99838328528423</v>
      </c>
      <c r="AH154" s="437"/>
      <c r="AI154" s="438"/>
      <c r="AJ154" s="438"/>
      <c r="AK154" s="438"/>
      <c r="AL154" s="438"/>
      <c r="AM154" s="438"/>
      <c r="AN154" s="438"/>
      <c r="AO154" s="439"/>
      <c r="AP154" s="333">
        <v>73.563111972855054</v>
      </c>
    </row>
    <row r="155" spans="1:63" ht="36">
      <c r="A155" s="100" t="s">
        <v>363</v>
      </c>
      <c r="B155" s="92">
        <v>59.485455477268296</v>
      </c>
      <c r="C155" s="92">
        <v>65.153917661651249</v>
      </c>
      <c r="D155" s="92">
        <v>58.100383634710141</v>
      </c>
      <c r="E155" s="92">
        <v>42.983157621565304</v>
      </c>
      <c r="F155" s="92">
        <v>42.940263861045771</v>
      </c>
      <c r="G155" s="92">
        <v>45.205571240735836</v>
      </c>
      <c r="H155" s="92">
        <v>47.31965208932084</v>
      </c>
      <c r="I155" s="92">
        <v>39.708112900329418</v>
      </c>
      <c r="J155" s="92">
        <v>48.724298238400642</v>
      </c>
      <c r="K155" s="92">
        <v>43.923149262786133</v>
      </c>
      <c r="L155" s="92">
        <v>41.545713557363165</v>
      </c>
      <c r="M155" s="92">
        <v>35.152389240916953</v>
      </c>
      <c r="N155" s="92">
        <v>33.874202488680687</v>
      </c>
      <c r="O155" s="92">
        <v>36.28345086345378</v>
      </c>
      <c r="P155" s="92">
        <v>34.449646846779721</v>
      </c>
      <c r="Q155" s="92">
        <v>37.910822646685354</v>
      </c>
      <c r="R155" s="92">
        <v>33.657704973003469</v>
      </c>
      <c r="S155" s="92">
        <v>35.995161375696661</v>
      </c>
      <c r="T155" s="92">
        <v>33.588567617923466</v>
      </c>
      <c r="U155" s="92">
        <v>31.099178004848831</v>
      </c>
      <c r="V155" s="92">
        <v>30.59074579957532</v>
      </c>
      <c r="W155" s="92">
        <v>23.837745650801629</v>
      </c>
      <c r="X155" s="92">
        <v>28.85514544096565</v>
      </c>
      <c r="Y155" s="92">
        <v>30.12127597935271</v>
      </c>
      <c r="Z155" s="92">
        <v>19.30807082587669</v>
      </c>
      <c r="AA155" s="92">
        <v>18.630547671775581</v>
      </c>
      <c r="AB155" s="92">
        <v>17.294170200673697</v>
      </c>
      <c r="AC155" s="92">
        <v>18.979517765805461</v>
      </c>
      <c r="AD155" s="92">
        <v>14.955444174443532</v>
      </c>
      <c r="AE155" s="92">
        <v>9.8742704455320478</v>
      </c>
      <c r="AF155" s="92">
        <v>9.0519777521339044</v>
      </c>
      <c r="AG155" s="92">
        <v>11.983271565974531</v>
      </c>
      <c r="AH155" s="437"/>
      <c r="AI155" s="438"/>
      <c r="AJ155" s="438"/>
      <c r="AK155" s="438"/>
      <c r="AL155" s="438"/>
      <c r="AM155" s="438"/>
      <c r="AN155" s="438"/>
      <c r="AO155" s="439"/>
      <c r="AP155" s="333">
        <v>2.9586206896551723</v>
      </c>
    </row>
    <row r="156" spans="1:63" ht="48">
      <c r="A156" s="100" t="s">
        <v>475</v>
      </c>
      <c r="B156" s="92">
        <v>8.774107624700731</v>
      </c>
      <c r="C156" s="92">
        <v>10.012906645186556</v>
      </c>
      <c r="D156" s="92">
        <v>10.089329923185822</v>
      </c>
      <c r="E156" s="92">
        <v>10.136821888369845</v>
      </c>
      <c r="F156" s="92">
        <v>9.5195041492825183</v>
      </c>
      <c r="G156" s="92">
        <v>9.61335268370736</v>
      </c>
      <c r="H156" s="92">
        <v>10.048357663878615</v>
      </c>
      <c r="I156" s="92">
        <v>9.3768617860122383</v>
      </c>
      <c r="J156" s="92">
        <v>9.4742602241675407</v>
      </c>
      <c r="K156" s="92">
        <v>9.6449090962230422</v>
      </c>
      <c r="L156" s="92">
        <v>9.6615209689690609</v>
      </c>
      <c r="M156" s="92">
        <v>10.173281957309555</v>
      </c>
      <c r="N156" s="92">
        <v>10.219723913768266</v>
      </c>
      <c r="O156" s="92">
        <v>10.740639818383976</v>
      </c>
      <c r="P156" s="92">
        <v>10.854770867405623</v>
      </c>
      <c r="Q156" s="92">
        <v>10.876276101126566</v>
      </c>
      <c r="R156" s="92">
        <v>10.37795967352082</v>
      </c>
      <c r="S156" s="92">
        <v>9.9742652354789669</v>
      </c>
      <c r="T156" s="92">
        <v>10.03803800591127</v>
      </c>
      <c r="U156" s="92">
        <v>10.231915236126884</v>
      </c>
      <c r="V156" s="92">
        <v>11.013062516560248</v>
      </c>
      <c r="W156" s="92">
        <v>10.312202381717022</v>
      </c>
      <c r="X156" s="92">
        <v>10.70796716756735</v>
      </c>
      <c r="Y156" s="92">
        <v>11.108432772611353</v>
      </c>
      <c r="Z156" s="92">
        <v>11.067247254580888</v>
      </c>
      <c r="AA156" s="92">
        <v>11.105050556405143</v>
      </c>
      <c r="AB156" s="92">
        <v>11.475612617190997</v>
      </c>
      <c r="AC156" s="92">
        <v>11.361990213215599</v>
      </c>
      <c r="AD156" s="92">
        <v>11.263575999715718</v>
      </c>
      <c r="AE156" s="92">
        <v>11.779417792611984</v>
      </c>
      <c r="AF156" s="92">
        <v>11.450951282651749</v>
      </c>
      <c r="AG156" s="92">
        <v>11.075630434718297</v>
      </c>
      <c r="AH156" s="437"/>
      <c r="AI156" s="438"/>
      <c r="AJ156" s="438"/>
      <c r="AK156" s="438"/>
      <c r="AL156" s="438"/>
      <c r="AM156" s="438"/>
      <c r="AN156" s="438"/>
      <c r="AO156" s="439"/>
      <c r="AP156" s="334" t="s">
        <v>476</v>
      </c>
    </row>
    <row r="157" spans="1:63">
      <c r="A157" s="151" t="s">
        <v>477</v>
      </c>
      <c r="B157" s="331">
        <f>SUM(B153:B156)</f>
        <v>368.1998347935766</v>
      </c>
      <c r="C157" s="331">
        <f t="shared" ref="C157:AG157" si="96">SUM(C153:C156)</f>
        <v>394.92503156999743</v>
      </c>
      <c r="D157" s="331">
        <f t="shared" si="96"/>
        <v>386.98523876496233</v>
      </c>
      <c r="E157" s="331">
        <f t="shared" si="96"/>
        <v>368.99745414380419</v>
      </c>
      <c r="F157" s="331">
        <f t="shared" si="96"/>
        <v>360.85950805246273</v>
      </c>
      <c r="G157" s="331">
        <f t="shared" si="96"/>
        <v>366.98402602965513</v>
      </c>
      <c r="H157" s="331">
        <f t="shared" si="96"/>
        <v>383.5079732373041</v>
      </c>
      <c r="I157" s="331">
        <f t="shared" si="96"/>
        <v>374.17674607890854</v>
      </c>
      <c r="J157" s="331">
        <f t="shared" si="96"/>
        <v>392.6285538601735</v>
      </c>
      <c r="K157" s="331">
        <f t="shared" si="96"/>
        <v>390.21826095389798</v>
      </c>
      <c r="L157" s="331">
        <f t="shared" si="96"/>
        <v>382.58744091149816</v>
      </c>
      <c r="M157" s="331">
        <f t="shared" si="96"/>
        <v>388.67813394688432</v>
      </c>
      <c r="N157" s="331">
        <f t="shared" si="96"/>
        <v>382.60808172643976</v>
      </c>
      <c r="O157" s="331">
        <f t="shared" si="96"/>
        <v>390.12769929266454</v>
      </c>
      <c r="P157" s="331">
        <f t="shared" si="96"/>
        <v>389.25677548050345</v>
      </c>
      <c r="Q157" s="331">
        <f t="shared" si="96"/>
        <v>391.58847108921634</v>
      </c>
      <c r="R157" s="331">
        <f t="shared" si="96"/>
        <v>378.87652100890045</v>
      </c>
      <c r="S157" s="331">
        <f t="shared" si="96"/>
        <v>367.62881180722951</v>
      </c>
      <c r="T157" s="331">
        <f t="shared" si="96"/>
        <v>364.9310982300575</v>
      </c>
      <c r="U157" s="331">
        <f t="shared" si="96"/>
        <v>355.80717049023207</v>
      </c>
      <c r="V157" s="331">
        <f t="shared" si="96"/>
        <v>358.38679791034912</v>
      </c>
      <c r="W157" s="331">
        <f t="shared" si="96"/>
        <v>335.01892847873427</v>
      </c>
      <c r="X157" s="331">
        <f t="shared" si="96"/>
        <v>340.11811683719242</v>
      </c>
      <c r="Y157" s="331">
        <f t="shared" si="96"/>
        <v>340.5282955110527</v>
      </c>
      <c r="Z157" s="331">
        <f t="shared" si="96"/>
        <v>308.20729075175387</v>
      </c>
      <c r="AA157" s="331">
        <f t="shared" si="96"/>
        <v>314.6196586466308</v>
      </c>
      <c r="AB157" s="331">
        <f t="shared" si="96"/>
        <v>317.46396765452647</v>
      </c>
      <c r="AC157" s="331">
        <f t="shared" si="96"/>
        <v>318.58558125899651</v>
      </c>
      <c r="AD157" s="331">
        <f t="shared" si="96"/>
        <v>303.80667937046417</v>
      </c>
      <c r="AE157" s="331">
        <f t="shared" si="96"/>
        <v>298.66552488790336</v>
      </c>
      <c r="AF157" s="331">
        <f t="shared" si="96"/>
        <v>267.39898046209777</v>
      </c>
      <c r="AG157" s="331">
        <f t="shared" si="96"/>
        <v>289.68020363819761</v>
      </c>
      <c r="AH157" s="434"/>
      <c r="AI157" s="435"/>
      <c r="AJ157" s="435"/>
      <c r="AK157" s="435"/>
      <c r="AL157" s="435"/>
      <c r="AM157" s="435"/>
      <c r="AN157" s="435"/>
      <c r="AO157" s="436"/>
      <c r="AP157" s="335">
        <f>SUM(AP153:AP155)</f>
        <v>177.14811061526612</v>
      </c>
    </row>
  </sheetData>
  <mergeCells count="27">
    <mergeCell ref="AH157:AO157"/>
    <mergeCell ref="AH156:AO156"/>
    <mergeCell ref="AH155:AO155"/>
    <mergeCell ref="AH154:AO154"/>
    <mergeCell ref="AH153:AO153"/>
    <mergeCell ref="AI137:AP137"/>
    <mergeCell ref="AI21:AP21"/>
    <mergeCell ref="AI16:AP16"/>
    <mergeCell ref="AI18:AP18"/>
    <mergeCell ref="AI81:AP81"/>
    <mergeCell ref="AI99:AP99"/>
    <mergeCell ref="AO94:AO95"/>
    <mergeCell ref="AM94:AM95"/>
    <mergeCell ref="AL94:AL95"/>
    <mergeCell ref="A2:AC2"/>
    <mergeCell ref="A80:AB80"/>
    <mergeCell ref="A136:AB136"/>
    <mergeCell ref="AP94:AP95"/>
    <mergeCell ref="AN94:AN95"/>
    <mergeCell ref="AK94:AK95"/>
    <mergeCell ref="AI94:AI95"/>
    <mergeCell ref="AJ94:AJ95"/>
    <mergeCell ref="AI5:AP5"/>
    <mergeCell ref="AI23:AP23"/>
    <mergeCell ref="AI37:AP37"/>
    <mergeCell ref="AI56:AP56"/>
    <mergeCell ref="AI64:AP6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41"/>
  <sheetViews>
    <sheetView showGridLines="0" zoomScale="70" zoomScaleNormal="70" workbookViewId="0">
      <selection activeCell="AI109" sqref="AI109:AP109"/>
    </sheetView>
  </sheetViews>
  <sheetFormatPr baseColWidth="10" defaultColWidth="11.44140625" defaultRowHeight="14.4" outlineLevelCol="1"/>
  <cols>
    <col min="3" max="6" width="0" hidden="1" customWidth="1" outlineLevel="1"/>
    <col min="7" max="7" width="11.5546875" collapsed="1"/>
    <col min="8" max="11" width="0" hidden="1" customWidth="1" outlineLevel="1"/>
    <col min="12" max="12" width="11.5546875" collapsed="1"/>
    <col min="13" max="16" width="0" hidden="1" customWidth="1" outlineLevel="1"/>
    <col min="17" max="17" width="11.5546875" collapsed="1"/>
    <col min="18" max="21" width="0" hidden="1" customWidth="1" outlineLevel="1"/>
    <col min="22" max="22" width="11.5546875" collapsed="1"/>
    <col min="23" max="26" width="0" hidden="1" customWidth="1" outlineLevel="1"/>
    <col min="27" max="27" width="11.5546875" collapsed="1"/>
  </cols>
  <sheetData>
    <row r="1" spans="1:59" ht="29.4">
      <c r="A1" s="64" t="s">
        <v>478</v>
      </c>
      <c r="B1" s="65" t="s">
        <v>479</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t="s">
        <v>479</v>
      </c>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row>
    <row r="2" spans="1:59" ht="15">
      <c r="A2" s="419" t="s">
        <v>480</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row>
    <row r="3" spans="1:59" ht="15">
      <c r="A3" s="68" t="s">
        <v>391</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row>
    <row r="4" spans="1:59" ht="22.2">
      <c r="A4" s="69"/>
      <c r="B4" s="70"/>
      <c r="C4" s="70"/>
      <c r="D4" s="70"/>
      <c r="E4" s="70"/>
      <c r="F4" s="70"/>
      <c r="G4" s="70"/>
      <c r="H4" s="70"/>
      <c r="I4" s="70"/>
      <c r="J4" s="70"/>
      <c r="K4" s="70"/>
      <c r="L4" s="70"/>
      <c r="M4" s="70"/>
      <c r="N4" s="70"/>
      <c r="O4" s="70"/>
      <c r="P4" s="70"/>
      <c r="Q4" s="70"/>
      <c r="R4" s="70"/>
      <c r="S4" s="70"/>
      <c r="T4" s="70"/>
      <c r="U4" s="70"/>
      <c r="V4" s="70"/>
      <c r="W4" s="70"/>
      <c r="X4" s="70"/>
      <c r="Y4" s="70"/>
      <c r="Z4" s="71"/>
      <c r="AA4" s="71"/>
      <c r="AB4" s="71"/>
      <c r="AC4" s="72"/>
      <c r="AD4" s="72"/>
      <c r="AE4" s="72"/>
      <c r="AF4" s="72"/>
      <c r="AG4" s="72"/>
      <c r="AH4" s="72"/>
    </row>
    <row r="5" spans="1:59" ht="18">
      <c r="A5" s="73" t="s">
        <v>392</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426" t="s">
        <v>393</v>
      </c>
      <c r="AJ5" s="426"/>
      <c r="AK5" s="426"/>
      <c r="AL5" s="426"/>
      <c r="AM5" s="426"/>
      <c r="AN5" s="426"/>
      <c r="AO5" s="426"/>
      <c r="AP5" s="426"/>
    </row>
    <row r="6" spans="1:59" ht="105.6">
      <c r="A6" s="75" t="s">
        <v>481</v>
      </c>
      <c r="B6" s="76">
        <v>1990</v>
      </c>
      <c r="C6" s="76">
        <v>1991</v>
      </c>
      <c r="D6" s="76">
        <v>1992</v>
      </c>
      <c r="E6" s="76">
        <v>1993</v>
      </c>
      <c r="F6" s="76">
        <v>1994</v>
      </c>
      <c r="G6" s="76">
        <v>1995</v>
      </c>
      <c r="H6" s="76">
        <v>1996</v>
      </c>
      <c r="I6" s="76">
        <v>1997</v>
      </c>
      <c r="J6" s="76">
        <v>1998</v>
      </c>
      <c r="K6" s="76">
        <v>1999</v>
      </c>
      <c r="L6" s="76">
        <v>2000</v>
      </c>
      <c r="M6" s="76">
        <v>2001</v>
      </c>
      <c r="N6" s="76">
        <v>2002</v>
      </c>
      <c r="O6" s="76">
        <v>2003</v>
      </c>
      <c r="P6" s="76">
        <v>2004</v>
      </c>
      <c r="Q6" s="76">
        <v>2005</v>
      </c>
      <c r="R6" s="76">
        <v>2006</v>
      </c>
      <c r="S6" s="76">
        <v>2007</v>
      </c>
      <c r="T6" s="76">
        <v>2008</v>
      </c>
      <c r="U6" s="76">
        <v>2009</v>
      </c>
      <c r="V6" s="76">
        <v>2010</v>
      </c>
      <c r="W6" s="76">
        <v>2011</v>
      </c>
      <c r="X6" s="76">
        <v>2012</v>
      </c>
      <c r="Y6" s="76">
        <v>2013</v>
      </c>
      <c r="Z6" s="76">
        <v>2014</v>
      </c>
      <c r="AA6" s="76">
        <v>2015</v>
      </c>
      <c r="AB6" s="76">
        <v>2016</v>
      </c>
      <c r="AC6" s="76">
        <v>2017</v>
      </c>
      <c r="AD6" s="76">
        <v>2018</v>
      </c>
      <c r="AE6" s="76">
        <v>2019</v>
      </c>
      <c r="AF6" s="77">
        <v>2020</v>
      </c>
      <c r="AG6" s="77">
        <v>2021</v>
      </c>
      <c r="AH6" s="77" t="s">
        <v>395</v>
      </c>
      <c r="AI6" s="76">
        <v>2023</v>
      </c>
      <c r="AJ6" s="152">
        <v>2024</v>
      </c>
      <c r="AK6" s="76">
        <v>2025</v>
      </c>
      <c r="AL6" s="152">
        <v>2026</v>
      </c>
      <c r="AM6" s="152">
        <v>2027</v>
      </c>
      <c r="AN6" s="76">
        <v>2028</v>
      </c>
      <c r="AO6" s="152">
        <v>2029</v>
      </c>
      <c r="AP6" s="76">
        <v>2030</v>
      </c>
    </row>
    <row r="7" spans="1:59">
      <c r="A7" s="78" t="s">
        <v>396</v>
      </c>
      <c r="B7" s="79">
        <v>7482.854603089706</v>
      </c>
      <c r="C7" s="79">
        <v>7092.8654565826155</v>
      </c>
      <c r="D7" s="79">
        <v>7251.9856989753926</v>
      </c>
      <c r="E7" s="79">
        <v>7432.4177883470002</v>
      </c>
      <c r="F7" s="79">
        <v>7513.0048252897113</v>
      </c>
      <c r="G7" s="79">
        <v>7392.8721073630486</v>
      </c>
      <c r="H7" s="79">
        <v>5994.8671000878467</v>
      </c>
      <c r="I7" s="79">
        <v>5329.2720728186996</v>
      </c>
      <c r="J7" s="79">
        <v>5233.0236057092316</v>
      </c>
      <c r="K7" s="79">
        <v>5032.6109891289507</v>
      </c>
      <c r="L7" s="79">
        <v>4003.853717155871</v>
      </c>
      <c r="M7" s="79">
        <v>3748.1998319863769</v>
      </c>
      <c r="N7" s="79">
        <v>3087.0707019281149</v>
      </c>
      <c r="O7" s="79">
        <v>2996.2072995611888</v>
      </c>
      <c r="P7" s="79">
        <v>2456.1396767972469</v>
      </c>
      <c r="Q7" s="79">
        <v>2087.1066012929077</v>
      </c>
      <c r="R7" s="79">
        <v>1961.9741179274192</v>
      </c>
      <c r="S7" s="79">
        <v>1704.0458828260601</v>
      </c>
      <c r="T7" s="79">
        <v>1693.4190110074583</v>
      </c>
      <c r="U7" s="79">
        <v>1693.6767720244839</v>
      </c>
      <c r="V7" s="79">
        <v>1773.0743598701831</v>
      </c>
      <c r="W7" s="79">
        <v>1682.0939598940902</v>
      </c>
      <c r="X7" s="79">
        <v>1643.538899142128</v>
      </c>
      <c r="Y7" s="79">
        <v>1584.4597595528755</v>
      </c>
      <c r="Z7" s="79">
        <v>1411.7467723082541</v>
      </c>
      <c r="AA7" s="79">
        <v>1397.512670068887</v>
      </c>
      <c r="AB7" s="79">
        <v>1435.7901827354533</v>
      </c>
      <c r="AC7" s="79">
        <v>1336.3066800916652</v>
      </c>
      <c r="AD7" s="79">
        <v>1269.3876473716866</v>
      </c>
      <c r="AE7" s="79">
        <v>1185.5642783291671</v>
      </c>
      <c r="AF7" s="79">
        <v>1007.5751177492548</v>
      </c>
      <c r="AG7" s="79">
        <v>988.76754345397512</v>
      </c>
      <c r="AH7" s="79">
        <v>923.29441362957289</v>
      </c>
      <c r="AI7" s="143">
        <v>1702.9597556332737</v>
      </c>
      <c r="AJ7" s="143">
        <f>AI7+(AK7-AI7)/2</f>
        <v>1697.0094904567941</v>
      </c>
      <c r="AK7" s="143">
        <v>1691.0592252803142</v>
      </c>
      <c r="AL7" s="143">
        <f>AK7+(AN7-AK7)/3</f>
        <v>1666.5218577350909</v>
      </c>
      <c r="AM7" s="143">
        <f>AK7+(AN7-AK7)*2/3</f>
        <v>1641.9844901898673</v>
      </c>
      <c r="AN7" s="143">
        <v>1617.447122644644</v>
      </c>
      <c r="AO7" s="143">
        <f>AN7+(AP7-AN7)/2</f>
        <v>1592.6465270378208</v>
      </c>
      <c r="AP7" s="143">
        <v>1567.8459314309976</v>
      </c>
    </row>
    <row r="8" spans="1:59">
      <c r="A8" s="78" t="s">
        <v>397</v>
      </c>
      <c r="B8" s="79">
        <v>425.11610477850758</v>
      </c>
      <c r="C8" s="79">
        <v>450.1099181665017</v>
      </c>
      <c r="D8" s="79">
        <v>427.02104840705897</v>
      </c>
      <c r="E8" s="79">
        <v>410.58754570967915</v>
      </c>
      <c r="F8" s="79">
        <v>435.12797868567316</v>
      </c>
      <c r="G8" s="79">
        <v>433.95288281780381</v>
      </c>
      <c r="H8" s="79">
        <v>425.95623229705541</v>
      </c>
      <c r="I8" s="79">
        <v>450.78696512072997</v>
      </c>
      <c r="J8" s="79">
        <v>443.73087652044001</v>
      </c>
      <c r="K8" s="79">
        <v>441.33147494135358</v>
      </c>
      <c r="L8" s="79">
        <v>442.2242983575058</v>
      </c>
      <c r="M8" s="79">
        <v>438.88170409559586</v>
      </c>
      <c r="N8" s="79">
        <v>438.05327372384454</v>
      </c>
      <c r="O8" s="79">
        <v>426.4691490452463</v>
      </c>
      <c r="P8" s="79">
        <v>477.85158031854888</v>
      </c>
      <c r="Q8" s="79">
        <v>436.28198399669151</v>
      </c>
      <c r="R8" s="79">
        <v>370.9059044811047</v>
      </c>
      <c r="S8" s="79">
        <v>435.82968159973689</v>
      </c>
      <c r="T8" s="79">
        <v>381.57164228763065</v>
      </c>
      <c r="U8" s="79">
        <v>313.04865700096832</v>
      </c>
      <c r="V8" s="79">
        <v>379.36072374751842</v>
      </c>
      <c r="W8" s="79">
        <v>328.3224984231652</v>
      </c>
      <c r="X8" s="79">
        <v>298.74629008772064</v>
      </c>
      <c r="Y8" s="79">
        <v>289.38771780299112</v>
      </c>
      <c r="Z8" s="79">
        <v>288.78142784855351</v>
      </c>
      <c r="AA8" s="79">
        <v>283.13794963381685</v>
      </c>
      <c r="AB8" s="79">
        <v>292.04842500098886</v>
      </c>
      <c r="AC8" s="79">
        <v>280.07204931062086</v>
      </c>
      <c r="AD8" s="79">
        <v>281.94050673494689</v>
      </c>
      <c r="AE8" s="79">
        <v>276.33188782916358</v>
      </c>
      <c r="AF8" s="79">
        <v>262.00567114543446</v>
      </c>
      <c r="AG8" s="79">
        <v>269.76441346632691</v>
      </c>
      <c r="AH8" s="79">
        <v>260.53661718102001</v>
      </c>
      <c r="AI8" s="143">
        <v>289.49801971336251</v>
      </c>
      <c r="AJ8" s="143">
        <f t="shared" ref="AJ8:AJ15" si="0">AI8+(AK8-AI8)/2</f>
        <v>286.42114278194958</v>
      </c>
      <c r="AK8" s="143">
        <v>283.34426585053671</v>
      </c>
      <c r="AL8" s="143">
        <f t="shared" ref="AL8:AL15" si="1">AK8+(AN8-AK8)/3</f>
        <v>277.9649649863718</v>
      </c>
      <c r="AM8" s="143">
        <f t="shared" ref="AM8:AM15" si="2">AK8+(AN8-AK8)*2/3</f>
        <v>272.58566412220682</v>
      </c>
      <c r="AN8" s="143">
        <v>267.2063632580419</v>
      </c>
      <c r="AO8" s="143">
        <f t="shared" ref="AO8:AO15" si="3">AN8+(AP8-AN8)/2</f>
        <v>261.85738904003119</v>
      </c>
      <c r="AP8" s="143">
        <v>256.50841482202048</v>
      </c>
    </row>
    <row r="9" spans="1:59">
      <c r="A9" s="78" t="s">
        <v>398</v>
      </c>
      <c r="B9" s="79">
        <v>13321.938047276939</v>
      </c>
      <c r="C9" s="79">
        <v>14028.15893766376</v>
      </c>
      <c r="D9" s="79">
        <v>14804.755415697255</v>
      </c>
      <c r="E9" s="79">
        <v>15602.018152584744</v>
      </c>
      <c r="F9" s="79">
        <v>15943.624650284335</v>
      </c>
      <c r="G9" s="79">
        <v>16223.942917834022</v>
      </c>
      <c r="H9" s="79">
        <v>16414.946297654787</v>
      </c>
      <c r="I9" s="79">
        <v>16642.98750078601</v>
      </c>
      <c r="J9" s="79">
        <v>17233.710991256143</v>
      </c>
      <c r="K9" s="79">
        <v>17606.048000192168</v>
      </c>
      <c r="L9" s="79">
        <v>17967.260060958575</v>
      </c>
      <c r="M9" s="79">
        <v>18313.890038650341</v>
      </c>
      <c r="N9" s="79">
        <v>18628.543284044288</v>
      </c>
      <c r="O9" s="79">
        <v>18798.169139738453</v>
      </c>
      <c r="P9" s="79">
        <v>18779.560789836043</v>
      </c>
      <c r="Q9" s="79">
        <v>18599.699111122522</v>
      </c>
      <c r="R9" s="79">
        <v>18530.66269985773</v>
      </c>
      <c r="S9" s="79">
        <v>18592.549706128368</v>
      </c>
      <c r="T9" s="79">
        <v>18569.506872043708</v>
      </c>
      <c r="U9" s="79">
        <v>17897.755782890505</v>
      </c>
      <c r="V9" s="79">
        <v>17854.504247105</v>
      </c>
      <c r="W9" s="79">
        <v>16865.02018919976</v>
      </c>
      <c r="X9" s="79">
        <v>16547.399110508901</v>
      </c>
      <c r="Y9" s="79">
        <v>14979.076222441612</v>
      </c>
      <c r="Z9" s="79">
        <v>14072.336660276154</v>
      </c>
      <c r="AA9" s="79">
        <v>13276.87515791176</v>
      </c>
      <c r="AB9" s="79">
        <v>13314.739285792437</v>
      </c>
      <c r="AC9" s="79">
        <v>13450.429660772425</v>
      </c>
      <c r="AD9" s="79">
        <v>13224.029278404043</v>
      </c>
      <c r="AE9" s="79">
        <v>14067.124049250258</v>
      </c>
      <c r="AF9" s="79">
        <v>13993.213480919132</v>
      </c>
      <c r="AG9" s="79">
        <v>13226.216695716643</v>
      </c>
      <c r="AH9" s="79">
        <v>13226.205813403296</v>
      </c>
      <c r="AI9" s="143">
        <v>12442.642770836004</v>
      </c>
      <c r="AJ9" s="143">
        <f t="shared" si="0"/>
        <v>10854.329989475869</v>
      </c>
      <c r="AK9" s="143">
        <v>9266.0172081157343</v>
      </c>
      <c r="AL9" s="143">
        <f t="shared" si="1"/>
        <v>8058.6479951829515</v>
      </c>
      <c r="AM9" s="143">
        <f t="shared" si="2"/>
        <v>6851.2787822501687</v>
      </c>
      <c r="AN9" s="143">
        <v>5643.9095693173858</v>
      </c>
      <c r="AO9" s="143">
        <f t="shared" si="3"/>
        <v>5366.2840820390129</v>
      </c>
      <c r="AP9" s="143">
        <v>5088.65859476064</v>
      </c>
    </row>
    <row r="10" spans="1:59">
      <c r="A10" s="78" t="s">
        <v>399</v>
      </c>
      <c r="B10" s="79">
        <v>6765.5336023668187</v>
      </c>
      <c r="C10" s="79">
        <v>7767.054688939199</v>
      </c>
      <c r="D10" s="79">
        <v>7577.7451679725918</v>
      </c>
      <c r="E10" s="80">
        <v>7421.4888495426649</v>
      </c>
      <c r="F10" s="80">
        <v>6745.6399504572146</v>
      </c>
      <c r="G10" s="80">
        <v>6874.781155168318</v>
      </c>
      <c r="H10" s="80">
        <v>7395.0527286568076</v>
      </c>
      <c r="I10" s="80">
        <v>6834.6059067997567</v>
      </c>
      <c r="J10" s="80">
        <v>6950.0741198894366</v>
      </c>
      <c r="K10" s="80">
        <v>6734.1234932415291</v>
      </c>
      <c r="L10" s="80">
        <v>6510.540085929425</v>
      </c>
      <c r="M10" s="80">
        <v>6645.2533319566328</v>
      </c>
      <c r="N10" s="80">
        <v>6288.5363543362228</v>
      </c>
      <c r="O10" s="80">
        <v>6553.5324267906826</v>
      </c>
      <c r="P10" s="80">
        <v>6545.5894713968246</v>
      </c>
      <c r="Q10" s="80">
        <v>6411.3676462001813</v>
      </c>
      <c r="R10" s="80">
        <v>6008.0630243167807</v>
      </c>
      <c r="S10" s="80">
        <v>5711.4334704619805</v>
      </c>
      <c r="T10" s="80">
        <v>5795.4748192866082</v>
      </c>
      <c r="U10" s="80">
        <v>5679.3767053920237</v>
      </c>
      <c r="V10" s="80">
        <v>5853.0876179767747</v>
      </c>
      <c r="W10" s="80">
        <v>4981.6711676157802</v>
      </c>
      <c r="X10" s="80">
        <v>5189.0416136242247</v>
      </c>
      <c r="Y10" s="80">
        <v>5225.5989079727442</v>
      </c>
      <c r="Z10" s="80">
        <v>4581.81297508846</v>
      </c>
      <c r="AA10" s="80">
        <v>4622.4085888629288</v>
      </c>
      <c r="AB10" s="80">
        <v>4702.7830970695541</v>
      </c>
      <c r="AC10" s="80">
        <v>4536.912621048149</v>
      </c>
      <c r="AD10" s="80">
        <v>4393.1197335329334</v>
      </c>
      <c r="AE10" s="80">
        <v>4353.9372985883501</v>
      </c>
      <c r="AF10" s="80">
        <v>4123.5944596069785</v>
      </c>
      <c r="AG10" s="80">
        <v>4310.5522027608631</v>
      </c>
      <c r="AH10" s="80">
        <v>4005.7862385668109</v>
      </c>
      <c r="AI10" s="143">
        <v>4146.9574618552106</v>
      </c>
      <c r="AJ10" s="143">
        <f t="shared" si="0"/>
        <v>4060.5106375596115</v>
      </c>
      <c r="AK10" s="143">
        <v>3974.063813264012</v>
      </c>
      <c r="AL10" s="143">
        <f t="shared" si="1"/>
        <v>3877.7178675089444</v>
      </c>
      <c r="AM10" s="143">
        <f t="shared" si="2"/>
        <v>3781.3719217538774</v>
      </c>
      <c r="AN10" s="143">
        <v>3685.0259759988098</v>
      </c>
      <c r="AO10" s="143">
        <f t="shared" si="3"/>
        <v>3591.6929960060716</v>
      </c>
      <c r="AP10" s="143">
        <v>3498.3600160133328</v>
      </c>
    </row>
    <row r="11" spans="1:59">
      <c r="A11" s="78" t="s">
        <v>400</v>
      </c>
      <c r="B11" s="79">
        <v>49712.682733559683</v>
      </c>
      <c r="C11" s="79">
        <v>48935.78813755716</v>
      </c>
      <c r="D11" s="79">
        <v>48352.442931504869</v>
      </c>
      <c r="E11" s="79">
        <v>48046.977016896009</v>
      </c>
      <c r="F11" s="79">
        <v>48292.931413634054</v>
      </c>
      <c r="G11" s="79">
        <v>48573.545991339481</v>
      </c>
      <c r="H11" s="79">
        <v>48654.355946514399</v>
      </c>
      <c r="I11" s="79">
        <v>48271.634806182672</v>
      </c>
      <c r="J11" s="79">
        <v>48152.051730881925</v>
      </c>
      <c r="K11" s="79">
        <v>48233.155930919682</v>
      </c>
      <c r="L11" s="79">
        <v>49981.655973793713</v>
      </c>
      <c r="M11" s="79">
        <v>50064.573644500735</v>
      </c>
      <c r="N11" s="79">
        <v>49063.622751470444</v>
      </c>
      <c r="O11" s="79">
        <v>47716.736192704775</v>
      </c>
      <c r="P11" s="79">
        <v>47128.468317776125</v>
      </c>
      <c r="Q11" s="79">
        <v>46938.135281786286</v>
      </c>
      <c r="R11" s="79">
        <v>47008.010289299869</v>
      </c>
      <c r="S11" s="79">
        <v>47347.603429944924</v>
      </c>
      <c r="T11" s="79">
        <v>47931.840130689816</v>
      </c>
      <c r="U11" s="79">
        <v>47406.396980801728</v>
      </c>
      <c r="V11" s="79">
        <v>47125.490462486297</v>
      </c>
      <c r="W11" s="79">
        <v>46413.275822836229</v>
      </c>
      <c r="X11" s="79">
        <v>45868.486105854754</v>
      </c>
      <c r="Y11" s="79">
        <v>45854.079071339009</v>
      </c>
      <c r="Z11" s="79">
        <v>46384.900970841627</v>
      </c>
      <c r="AA11" s="79">
        <v>46531.841055945304</v>
      </c>
      <c r="AB11" s="79">
        <v>46286.54184319359</v>
      </c>
      <c r="AC11" s="79">
        <v>45768.878965695134</v>
      </c>
      <c r="AD11" s="79">
        <v>45109.788222400712</v>
      </c>
      <c r="AE11" s="79">
        <v>44354.286149299034</v>
      </c>
      <c r="AF11" s="79">
        <v>43671.985335184429</v>
      </c>
      <c r="AG11" s="79">
        <v>42648.083403624936</v>
      </c>
      <c r="AH11" s="79">
        <v>42582.031187932036</v>
      </c>
      <c r="AI11" s="143">
        <v>41784.031314028973</v>
      </c>
      <c r="AJ11" s="143">
        <f t="shared" si="0"/>
        <v>41144.788817662702</v>
      </c>
      <c r="AK11" s="143">
        <v>40505.546321296431</v>
      </c>
      <c r="AL11" s="143">
        <f t="shared" si="1"/>
        <v>39881.776823190034</v>
      </c>
      <c r="AM11" s="143">
        <f t="shared" si="2"/>
        <v>39258.007325083629</v>
      </c>
      <c r="AN11" s="143">
        <v>38634.237826977231</v>
      </c>
      <c r="AO11" s="143">
        <f t="shared" si="3"/>
        <v>38052.277857954978</v>
      </c>
      <c r="AP11" s="143">
        <v>37470.317888932725</v>
      </c>
    </row>
    <row r="12" spans="1:59">
      <c r="A12" s="78" t="s">
        <v>387</v>
      </c>
      <c r="B12" s="79">
        <v>1096.7283848200514</v>
      </c>
      <c r="C12" s="79">
        <v>1092.1238011789028</v>
      </c>
      <c r="D12" s="79">
        <v>1090.638228265233</v>
      </c>
      <c r="E12" s="79">
        <v>1040.6360513087566</v>
      </c>
      <c r="F12" s="79">
        <v>957.41464727003972</v>
      </c>
      <c r="G12" s="79">
        <v>884.64569782211424</v>
      </c>
      <c r="H12" s="79">
        <v>822.75149860602539</v>
      </c>
      <c r="I12" s="79">
        <v>781.80260577220861</v>
      </c>
      <c r="J12" s="79">
        <v>745.96133770914355</v>
      </c>
      <c r="K12" s="79">
        <v>720.16350981350558</v>
      </c>
      <c r="L12" s="79">
        <v>660.12317240744915</v>
      </c>
      <c r="M12" s="79">
        <v>630.47207430659819</v>
      </c>
      <c r="N12" s="79">
        <v>588.2058315204647</v>
      </c>
      <c r="O12" s="79">
        <v>537.56476211987206</v>
      </c>
      <c r="P12" s="79">
        <v>494.79485239198249</v>
      </c>
      <c r="Q12" s="79">
        <v>447.30520479271883</v>
      </c>
      <c r="R12" s="79">
        <v>401.59065300944923</v>
      </c>
      <c r="S12" s="79">
        <v>360.63339977556365</v>
      </c>
      <c r="T12" s="79">
        <v>314.86435151186231</v>
      </c>
      <c r="U12" s="79">
        <v>286.80405577621207</v>
      </c>
      <c r="V12" s="79">
        <v>259.16674224084943</v>
      </c>
      <c r="W12" s="79">
        <v>236.67577694882513</v>
      </c>
      <c r="X12" s="79">
        <v>215.26028094150723</v>
      </c>
      <c r="Y12" s="79">
        <v>198.40754812278243</v>
      </c>
      <c r="Z12" s="79">
        <v>183.32595734899604</v>
      </c>
      <c r="AA12" s="79">
        <v>179.62219004303199</v>
      </c>
      <c r="AB12" s="79">
        <v>177.44076743980483</v>
      </c>
      <c r="AC12" s="79">
        <v>178.05416034057751</v>
      </c>
      <c r="AD12" s="79">
        <v>179.11600943758083</v>
      </c>
      <c r="AE12" s="79">
        <v>184.12048362287035</v>
      </c>
      <c r="AF12" s="79">
        <v>159.87095377412385</v>
      </c>
      <c r="AG12" s="79">
        <v>186.61262105859322</v>
      </c>
      <c r="AH12" s="79">
        <v>202.11065433385428</v>
      </c>
      <c r="AI12" s="143">
        <v>211.17573176857479</v>
      </c>
      <c r="AJ12" s="143">
        <f t="shared" si="0"/>
        <v>223.88556012896441</v>
      </c>
      <c r="AK12" s="143">
        <v>236.59538848935406</v>
      </c>
      <c r="AL12" s="143">
        <f t="shared" si="1"/>
        <v>233.73400843533562</v>
      </c>
      <c r="AM12" s="143">
        <f t="shared" si="2"/>
        <v>230.87262838131716</v>
      </c>
      <c r="AN12" s="143">
        <v>228.01124832729872</v>
      </c>
      <c r="AO12" s="143">
        <f t="shared" si="3"/>
        <v>224.72737752396685</v>
      </c>
      <c r="AP12" s="143">
        <v>221.44350672063499</v>
      </c>
    </row>
    <row r="13" spans="1:59">
      <c r="A13" s="81" t="s">
        <v>401</v>
      </c>
      <c r="B13" s="82">
        <v>25.089302415594311</v>
      </c>
      <c r="C13" s="82">
        <v>24.76225278356657</v>
      </c>
      <c r="D13" s="82">
        <v>24.029978517202441</v>
      </c>
      <c r="E13" s="82">
        <v>22.728190042440037</v>
      </c>
      <c r="F13" s="82">
        <v>20.140268266092114</v>
      </c>
      <c r="G13" s="82">
        <v>20.671117306474873</v>
      </c>
      <c r="H13" s="82">
        <v>21.689289234450086</v>
      </c>
      <c r="I13" s="82">
        <v>23.514286261355213</v>
      </c>
      <c r="J13" s="82">
        <v>25.492778251408723</v>
      </c>
      <c r="K13" s="82">
        <v>25.67720311814352</v>
      </c>
      <c r="L13" s="82">
        <v>26.108300801508502</v>
      </c>
      <c r="M13" s="82">
        <v>22.237673826524865</v>
      </c>
      <c r="N13" s="82">
        <v>21.475562476554149</v>
      </c>
      <c r="O13" s="82">
        <v>23.09892173560689</v>
      </c>
      <c r="P13" s="82">
        <v>26.111175224545807</v>
      </c>
      <c r="Q13" s="82">
        <v>24.087259652418282</v>
      </c>
      <c r="R13" s="82">
        <v>25.015479761545084</v>
      </c>
      <c r="S13" s="82">
        <v>25.656247392826856</v>
      </c>
      <c r="T13" s="82">
        <v>22.632775517823728</v>
      </c>
      <c r="U13" s="82">
        <v>22.50920996537285</v>
      </c>
      <c r="V13" s="82">
        <v>21.926926159455867</v>
      </c>
      <c r="W13" s="82">
        <v>23.403471009916998</v>
      </c>
      <c r="X13" s="82">
        <v>22.236400653542191</v>
      </c>
      <c r="Y13" s="82">
        <v>20.418515903830549</v>
      </c>
      <c r="Z13" s="82">
        <v>17.704007798305675</v>
      </c>
      <c r="AA13" s="82">
        <v>16.037467677761459</v>
      </c>
      <c r="AB13" s="82">
        <v>15.408131455616738</v>
      </c>
      <c r="AC13" s="82">
        <v>16.145581014342071</v>
      </c>
      <c r="AD13" s="82">
        <v>17.913958746098306</v>
      </c>
      <c r="AE13" s="82">
        <v>15.99643656627849</v>
      </c>
      <c r="AF13" s="82">
        <v>8.7566914951634711</v>
      </c>
      <c r="AG13" s="82">
        <v>9.989741206439934</v>
      </c>
      <c r="AH13" s="82">
        <v>11.091879676043618</v>
      </c>
      <c r="AI13" s="143">
        <v>84.683073347512888</v>
      </c>
      <c r="AJ13" s="143">
        <f t="shared" si="0"/>
        <v>110.13532250536903</v>
      </c>
      <c r="AK13" s="143">
        <v>135.58757166322516</v>
      </c>
      <c r="AL13" s="143">
        <f t="shared" si="1"/>
        <v>146.75459251741714</v>
      </c>
      <c r="AM13" s="143">
        <f t="shared" si="2"/>
        <v>157.92161337160908</v>
      </c>
      <c r="AN13" s="143">
        <v>169.08863422580106</v>
      </c>
      <c r="AO13" s="143">
        <f t="shared" si="3"/>
        <v>180.25868775205169</v>
      </c>
      <c r="AP13" s="143">
        <v>191.42874127830231</v>
      </c>
    </row>
    <row r="14" spans="1:59">
      <c r="A14" s="83" t="s">
        <v>402</v>
      </c>
      <c r="B14" s="85">
        <v>78804.853475891694</v>
      </c>
      <c r="C14" s="85">
        <v>79366.10094008813</v>
      </c>
      <c r="D14" s="85">
        <v>79504.588490822396</v>
      </c>
      <c r="E14" s="85">
        <v>79954.125404388862</v>
      </c>
      <c r="F14" s="85">
        <v>79887.743465621024</v>
      </c>
      <c r="G14" s="85">
        <v>80383.740752344791</v>
      </c>
      <c r="H14" s="85">
        <v>79707.929803816922</v>
      </c>
      <c r="I14" s="85">
        <v>78311.089857480067</v>
      </c>
      <c r="J14" s="85">
        <v>78758.552661966314</v>
      </c>
      <c r="K14" s="85">
        <v>78767.433398237175</v>
      </c>
      <c r="L14" s="85">
        <v>79565.657308602531</v>
      </c>
      <c r="M14" s="85">
        <v>79841.270625496283</v>
      </c>
      <c r="N14" s="85">
        <v>78094.032197023378</v>
      </c>
      <c r="O14" s="85">
        <v>77028.678969960223</v>
      </c>
      <c r="P14" s="85">
        <v>75882.404688516763</v>
      </c>
      <c r="Q14" s="85">
        <v>74919.8958291913</v>
      </c>
      <c r="R14" s="85">
        <v>74281.206688892358</v>
      </c>
      <c r="S14" s="85">
        <v>74152.095570736623</v>
      </c>
      <c r="T14" s="85">
        <v>74686.676826827083</v>
      </c>
      <c r="U14" s="85">
        <v>73277.05895388592</v>
      </c>
      <c r="V14" s="85">
        <v>73244.684153426628</v>
      </c>
      <c r="W14" s="85">
        <v>70507.059414917865</v>
      </c>
      <c r="X14" s="85">
        <v>69762.472300159236</v>
      </c>
      <c r="Y14" s="85">
        <v>68131.009227232018</v>
      </c>
      <c r="Z14" s="85">
        <v>66922.904763712038</v>
      </c>
      <c r="AA14" s="85">
        <v>66291.397612465735</v>
      </c>
      <c r="AB14" s="85">
        <v>66209.343601231842</v>
      </c>
      <c r="AC14" s="85">
        <v>65550.654137258563</v>
      </c>
      <c r="AD14" s="85">
        <v>64457.381397881902</v>
      </c>
      <c r="AE14" s="85">
        <v>64421.364146918844</v>
      </c>
      <c r="AF14" s="85">
        <v>63218.245018379355</v>
      </c>
      <c r="AG14" s="85">
        <v>61629.996880081337</v>
      </c>
      <c r="AH14" s="84">
        <v>61199.964925046588</v>
      </c>
      <c r="AI14" s="85">
        <v>60577.265053835399</v>
      </c>
      <c r="AJ14" s="85">
        <f t="shared" si="0"/>
        <v>58266.945638065896</v>
      </c>
      <c r="AK14" s="85">
        <v>55956.626222296385</v>
      </c>
      <c r="AL14" s="85">
        <f t="shared" si="1"/>
        <v>53996.363517038728</v>
      </c>
      <c r="AM14" s="85">
        <f t="shared" si="2"/>
        <v>52036.100811781071</v>
      </c>
      <c r="AN14" s="85">
        <v>50075.838106523413</v>
      </c>
      <c r="AO14" s="85">
        <f t="shared" si="3"/>
        <v>49089.486229601884</v>
      </c>
      <c r="AP14" s="85">
        <v>48103.134352680354</v>
      </c>
    </row>
    <row r="15" spans="1:59">
      <c r="A15" s="78" t="s">
        <v>403</v>
      </c>
      <c r="B15" s="79">
        <v>1053.3683447293572</v>
      </c>
      <c r="C15" s="79">
        <v>990.80178864831998</v>
      </c>
      <c r="D15" s="79">
        <v>1028.8274410319359</v>
      </c>
      <c r="E15" s="79">
        <v>1018.8169213303873</v>
      </c>
      <c r="F15" s="79">
        <v>3745.7075199968926</v>
      </c>
      <c r="G15" s="79">
        <v>4002.1265216110032</v>
      </c>
      <c r="H15" s="79">
        <v>3174.5442326601033</v>
      </c>
      <c r="I15" s="79">
        <v>2639.1399902054882</v>
      </c>
      <c r="J15" s="79">
        <v>2230.6173626221889</v>
      </c>
      <c r="K15" s="79">
        <v>1916.3391208343842</v>
      </c>
      <c r="L15" s="79">
        <v>1781.0923312148475</v>
      </c>
      <c r="M15" s="79">
        <v>1553.7606066817189</v>
      </c>
      <c r="N15" s="79">
        <v>1405.0269265074235</v>
      </c>
      <c r="O15" s="79">
        <v>1432.314635460215</v>
      </c>
      <c r="P15" s="79">
        <v>1253.2085613241029</v>
      </c>
      <c r="Q15" s="79">
        <v>1236.06698841398</v>
      </c>
      <c r="R15" s="79">
        <v>1167.3946829333986</v>
      </c>
      <c r="S15" s="79">
        <v>1170.7457432176686</v>
      </c>
      <c r="T15" s="79">
        <v>1125.9531853941694</v>
      </c>
      <c r="U15" s="79">
        <v>1140.9771312100534</v>
      </c>
      <c r="V15" s="79">
        <v>1159.7290809047643</v>
      </c>
      <c r="W15" s="79">
        <v>1154.8664430932713</v>
      </c>
      <c r="X15" s="79">
        <v>1138.125836858361</v>
      </c>
      <c r="Y15" s="79">
        <v>1188.3323122141935</v>
      </c>
      <c r="Z15" s="79">
        <v>1159.0923037442312</v>
      </c>
      <c r="AA15" s="79">
        <v>1155.7073851446989</v>
      </c>
      <c r="AB15" s="79">
        <v>1169.0266261810225</v>
      </c>
      <c r="AC15" s="79">
        <v>1179.1159761477575</v>
      </c>
      <c r="AD15" s="79">
        <v>1131.9988736899161</v>
      </c>
      <c r="AE15" s="79">
        <v>1157.7384611654402</v>
      </c>
      <c r="AF15" s="79">
        <v>1111.4806528634999</v>
      </c>
      <c r="AG15" s="79">
        <v>1114.6537437389275</v>
      </c>
      <c r="AH15" s="79">
        <v>1123.8902531813574</v>
      </c>
      <c r="AI15" s="144">
        <v>1109.2618785086315</v>
      </c>
      <c r="AJ15" s="143">
        <f t="shared" si="0"/>
        <v>1108.584509279231</v>
      </c>
      <c r="AK15" s="144">
        <v>1107.9071400498303</v>
      </c>
      <c r="AL15" s="143">
        <f t="shared" si="1"/>
        <v>1107.2795485982076</v>
      </c>
      <c r="AM15" s="143">
        <f t="shared" si="2"/>
        <v>1106.6519571465847</v>
      </c>
      <c r="AN15" s="144">
        <v>1106.0243656949619</v>
      </c>
      <c r="AO15" s="143">
        <f t="shared" si="3"/>
        <v>1105.4216631322279</v>
      </c>
      <c r="AP15" s="144">
        <v>1104.818960569494</v>
      </c>
    </row>
    <row r="16" spans="1:59">
      <c r="A16" s="81" t="s">
        <v>404</v>
      </c>
      <c r="B16" s="82">
        <v>3208.3221869950521</v>
      </c>
      <c r="C16" s="82">
        <v>3227.1039935374079</v>
      </c>
      <c r="D16" s="82">
        <v>3216.16720761018</v>
      </c>
      <c r="E16" s="82">
        <v>3264.6260326083475</v>
      </c>
      <c r="F16" s="82">
        <v>3305.1620829293579</v>
      </c>
      <c r="G16" s="82">
        <v>3310.2356741134658</v>
      </c>
      <c r="H16" s="82">
        <v>3315.2611484891841</v>
      </c>
      <c r="I16" s="82">
        <v>3350.5281165137185</v>
      </c>
      <c r="J16" s="82">
        <v>3355.030884259817</v>
      </c>
      <c r="K16" s="82">
        <v>3385.1333325340029</v>
      </c>
      <c r="L16" s="82">
        <v>3393.2732429297284</v>
      </c>
      <c r="M16" s="82">
        <v>3421.5153691313571</v>
      </c>
      <c r="N16" s="82">
        <v>3442.62331641847</v>
      </c>
      <c r="O16" s="82">
        <v>3447.530647318682</v>
      </c>
      <c r="P16" s="82">
        <v>3454.4092564844873</v>
      </c>
      <c r="Q16" s="82">
        <v>3480.9157900426553</v>
      </c>
      <c r="R16" s="82">
        <v>3594.4119484779612</v>
      </c>
      <c r="S16" s="82">
        <v>3656.6042861527749</v>
      </c>
      <c r="T16" s="82">
        <v>3678.5642188029074</v>
      </c>
      <c r="U16" s="82">
        <v>3714.2944373353021</v>
      </c>
      <c r="V16" s="82">
        <v>3729.020731437161</v>
      </c>
      <c r="W16" s="82">
        <v>3729.020731437161</v>
      </c>
      <c r="X16" s="82">
        <v>3757.2347474154894</v>
      </c>
      <c r="Y16" s="82">
        <v>3769.5074440670542</v>
      </c>
      <c r="Z16" s="82">
        <v>3791.1282999102368</v>
      </c>
      <c r="AA16" s="82">
        <v>3795.4272757883564</v>
      </c>
      <c r="AB16" s="82">
        <v>3798.9953795881602</v>
      </c>
      <c r="AC16" s="82">
        <v>3804.3494311984919</v>
      </c>
      <c r="AD16" s="82">
        <v>3807.5535201579328</v>
      </c>
      <c r="AE16" s="82">
        <v>3818.6483891464804</v>
      </c>
      <c r="AF16" s="82">
        <v>3820.4153778507407</v>
      </c>
      <c r="AG16" s="82">
        <v>3820.4153778507407</v>
      </c>
      <c r="AH16" s="82">
        <v>3820.4153778507407</v>
      </c>
      <c r="AI16" s="326"/>
      <c r="AJ16" s="327"/>
      <c r="AK16" s="327"/>
      <c r="AL16" s="327"/>
      <c r="AM16" s="327"/>
      <c r="AN16" s="327"/>
      <c r="AO16" s="327"/>
      <c r="AP16" s="327"/>
    </row>
    <row r="17" spans="1:42">
      <c r="A17" s="83" t="s">
        <v>406</v>
      </c>
      <c r="B17" s="85">
        <v>79858.221820621053</v>
      </c>
      <c r="C17" s="85">
        <v>80356.902728736444</v>
      </c>
      <c r="D17" s="85">
        <v>80533.415931854339</v>
      </c>
      <c r="E17" s="85">
        <v>80972.942325719254</v>
      </c>
      <c r="F17" s="85">
        <v>83633.450985617921</v>
      </c>
      <c r="G17" s="85">
        <v>84385.867273955795</v>
      </c>
      <c r="H17" s="85">
        <v>82882.474036477026</v>
      </c>
      <c r="I17" s="85">
        <v>80950.22984768555</v>
      </c>
      <c r="J17" s="85">
        <v>80989.1700245885</v>
      </c>
      <c r="K17" s="85">
        <v>80683.772519071557</v>
      </c>
      <c r="L17" s="85">
        <v>81346.749639817383</v>
      </c>
      <c r="M17" s="85">
        <v>81395.031232178007</v>
      </c>
      <c r="N17" s="85">
        <v>79499.059123530795</v>
      </c>
      <c r="O17" s="85">
        <v>78460.993605420445</v>
      </c>
      <c r="P17" s="85">
        <v>77135.61324984087</v>
      </c>
      <c r="Q17" s="85">
        <v>76155.962817605279</v>
      </c>
      <c r="R17" s="85">
        <v>75448.60137182576</v>
      </c>
      <c r="S17" s="85">
        <v>75322.841313954297</v>
      </c>
      <c r="T17" s="85">
        <v>75812.630012221256</v>
      </c>
      <c r="U17" s="85">
        <v>74418.03608509597</v>
      </c>
      <c r="V17" s="85">
        <v>74404.413234331398</v>
      </c>
      <c r="W17" s="85">
        <v>71661.925858011135</v>
      </c>
      <c r="X17" s="85">
        <v>70900.598137017601</v>
      </c>
      <c r="Y17" s="85">
        <v>69319.341539446206</v>
      </c>
      <c r="Z17" s="85">
        <v>68081.997067456265</v>
      </c>
      <c r="AA17" s="85">
        <v>67447.10499761044</v>
      </c>
      <c r="AB17" s="85">
        <v>67378.370227412859</v>
      </c>
      <c r="AC17" s="85">
        <v>66729.770113406325</v>
      </c>
      <c r="AD17" s="85">
        <v>65589.380271571819</v>
      </c>
      <c r="AE17" s="85">
        <v>65579.102608084286</v>
      </c>
      <c r="AF17" s="85">
        <v>64329.725671242857</v>
      </c>
      <c r="AG17" s="85">
        <v>62744.650623820264</v>
      </c>
      <c r="AH17" s="85">
        <v>62323.855178227946</v>
      </c>
      <c r="AI17" s="85">
        <f>AI14+AI15</f>
        <v>61686.52693234403</v>
      </c>
      <c r="AJ17" s="85">
        <f t="shared" ref="AJ17:AP17" si="4">AJ14+AJ15</f>
        <v>59375.530147345125</v>
      </c>
      <c r="AK17" s="85">
        <f t="shared" si="4"/>
        <v>57064.533362346214</v>
      </c>
      <c r="AL17" s="85">
        <f t="shared" si="4"/>
        <v>55103.643065636934</v>
      </c>
      <c r="AM17" s="85">
        <f t="shared" si="4"/>
        <v>53142.752768927654</v>
      </c>
      <c r="AN17" s="85">
        <f t="shared" si="4"/>
        <v>51181.862472218374</v>
      </c>
      <c r="AO17" s="85">
        <f t="shared" si="4"/>
        <v>50194.907892734111</v>
      </c>
      <c r="AP17" s="85">
        <f t="shared" si="4"/>
        <v>49207.953313249847</v>
      </c>
    </row>
    <row r="18" spans="1:42">
      <c r="A18" s="81" t="s">
        <v>407</v>
      </c>
      <c r="B18" s="82">
        <v>3233.4114894106465</v>
      </c>
      <c r="C18" s="82">
        <v>3251.8662463209744</v>
      </c>
      <c r="D18" s="82">
        <v>3240.1971861273823</v>
      </c>
      <c r="E18" s="82">
        <v>3287.3542226507875</v>
      </c>
      <c r="F18" s="82">
        <v>3325.3023511954502</v>
      </c>
      <c r="G18" s="82">
        <v>3330.9067914199409</v>
      </c>
      <c r="H18" s="82">
        <v>3336.950437723634</v>
      </c>
      <c r="I18" s="82">
        <v>3374.0424027750737</v>
      </c>
      <c r="J18" s="82">
        <v>3380.5236625112257</v>
      </c>
      <c r="K18" s="82">
        <v>3410.8105356521464</v>
      </c>
      <c r="L18" s="82">
        <v>3419.3815437312369</v>
      </c>
      <c r="M18" s="82">
        <v>3443.7530429578819</v>
      </c>
      <c r="N18" s="82">
        <v>3464.098878895024</v>
      </c>
      <c r="O18" s="82">
        <v>3470.6295690542888</v>
      </c>
      <c r="P18" s="82">
        <v>3480.5204317090329</v>
      </c>
      <c r="Q18" s="82">
        <v>3505.0030496950735</v>
      </c>
      <c r="R18" s="82">
        <v>3619.4274282395063</v>
      </c>
      <c r="S18" s="82">
        <v>3682.2605335456019</v>
      </c>
      <c r="T18" s="82">
        <v>3701.1969943207309</v>
      </c>
      <c r="U18" s="82">
        <v>3736.803647300675</v>
      </c>
      <c r="V18" s="82">
        <v>3750.9476575966169</v>
      </c>
      <c r="W18" s="82">
        <v>3752.4242024470782</v>
      </c>
      <c r="X18" s="82">
        <v>3779.4711480690316</v>
      </c>
      <c r="Y18" s="82">
        <v>3789.9259599708848</v>
      </c>
      <c r="Z18" s="82">
        <v>3808.8323077085424</v>
      </c>
      <c r="AA18" s="82">
        <v>3811.4647434661179</v>
      </c>
      <c r="AB18" s="82">
        <v>3814.4035110437767</v>
      </c>
      <c r="AC18" s="82">
        <v>3820.4950122128339</v>
      </c>
      <c r="AD18" s="82">
        <v>3825.4674789040309</v>
      </c>
      <c r="AE18" s="82">
        <v>3834.644825712759</v>
      </c>
      <c r="AF18" s="82">
        <v>3829.1720693459042</v>
      </c>
      <c r="AG18" s="82">
        <v>3830.4051190571809</v>
      </c>
      <c r="AH18" s="82">
        <v>3831.5072575267841</v>
      </c>
      <c r="AI18" s="326"/>
      <c r="AJ18" s="327"/>
      <c r="AK18" s="327"/>
      <c r="AL18" s="327"/>
      <c r="AM18" s="327"/>
      <c r="AN18" s="327"/>
      <c r="AO18" s="327"/>
      <c r="AP18" s="327"/>
    </row>
    <row r="19" spans="1:42">
      <c r="A19" s="86"/>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6"/>
      <c r="AJ19" s="328"/>
      <c r="AK19" s="328"/>
      <c r="AL19" s="328"/>
      <c r="AM19" s="328"/>
      <c r="AN19" s="328"/>
      <c r="AO19" s="328"/>
      <c r="AP19" s="328"/>
    </row>
    <row r="20" spans="1:42">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8"/>
      <c r="AE20" s="86"/>
      <c r="AF20" s="86"/>
      <c r="AG20" s="86"/>
      <c r="AH20" s="86"/>
    </row>
    <row r="21" spans="1:42" ht="18">
      <c r="A21" s="73" t="s">
        <v>408</v>
      </c>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426" t="s">
        <v>393</v>
      </c>
      <c r="AJ21" s="426"/>
      <c r="AK21" s="426"/>
      <c r="AL21" s="426"/>
      <c r="AM21" s="426"/>
      <c r="AN21" s="426"/>
      <c r="AO21" s="426"/>
      <c r="AP21" s="426"/>
    </row>
    <row r="22" spans="1:42">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row>
    <row r="23" spans="1:42">
      <c r="A23" s="89" t="s">
        <v>396</v>
      </c>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427" t="s">
        <v>393</v>
      </c>
      <c r="AJ23" s="427"/>
      <c r="AK23" s="427"/>
      <c r="AL23" s="427"/>
      <c r="AM23" s="427"/>
      <c r="AN23" s="427"/>
      <c r="AO23" s="427"/>
      <c r="AP23" s="427"/>
    </row>
    <row r="24" spans="1:42" ht="105.6">
      <c r="A24" s="75" t="s">
        <v>481</v>
      </c>
      <c r="B24" s="76">
        <v>1990</v>
      </c>
      <c r="C24" s="76">
        <v>1991</v>
      </c>
      <c r="D24" s="76">
        <v>1992</v>
      </c>
      <c r="E24" s="76">
        <v>1993</v>
      </c>
      <c r="F24" s="76">
        <v>1994</v>
      </c>
      <c r="G24" s="76">
        <v>1995</v>
      </c>
      <c r="H24" s="76">
        <v>1996</v>
      </c>
      <c r="I24" s="76">
        <v>1997</v>
      </c>
      <c r="J24" s="76">
        <v>1998</v>
      </c>
      <c r="K24" s="76">
        <v>1999</v>
      </c>
      <c r="L24" s="76">
        <v>2000</v>
      </c>
      <c r="M24" s="76">
        <v>2001</v>
      </c>
      <c r="N24" s="76">
        <v>2002</v>
      </c>
      <c r="O24" s="76">
        <v>2003</v>
      </c>
      <c r="P24" s="76">
        <v>2004</v>
      </c>
      <c r="Q24" s="76">
        <v>2005</v>
      </c>
      <c r="R24" s="76">
        <v>2006</v>
      </c>
      <c r="S24" s="76">
        <v>2007</v>
      </c>
      <c r="T24" s="76">
        <v>2008</v>
      </c>
      <c r="U24" s="76">
        <v>2009</v>
      </c>
      <c r="V24" s="76">
        <v>2010</v>
      </c>
      <c r="W24" s="76">
        <v>2011</v>
      </c>
      <c r="X24" s="76">
        <v>2012</v>
      </c>
      <c r="Y24" s="76">
        <v>2013</v>
      </c>
      <c r="Z24" s="76">
        <v>2014</v>
      </c>
      <c r="AA24" s="76">
        <v>2015</v>
      </c>
      <c r="AB24" s="76">
        <v>2016</v>
      </c>
      <c r="AC24" s="76">
        <v>2017</v>
      </c>
      <c r="AD24" s="76">
        <v>2018</v>
      </c>
      <c r="AE24" s="76">
        <v>2019</v>
      </c>
      <c r="AF24" s="76">
        <v>2020</v>
      </c>
      <c r="AG24" s="77">
        <v>2021</v>
      </c>
      <c r="AH24" s="77" t="s">
        <v>395</v>
      </c>
      <c r="AI24" s="76">
        <v>2023</v>
      </c>
      <c r="AJ24" s="152">
        <v>2024</v>
      </c>
      <c r="AK24" s="76">
        <v>2025</v>
      </c>
      <c r="AL24" s="152">
        <v>2026</v>
      </c>
      <c r="AM24" s="152">
        <v>2027</v>
      </c>
      <c r="AN24" s="76">
        <v>2028</v>
      </c>
      <c r="AO24" s="152">
        <v>2029</v>
      </c>
      <c r="AP24" s="76">
        <v>2030</v>
      </c>
    </row>
    <row r="25" spans="1:42" ht="24">
      <c r="A25" s="91" t="s">
        <v>90</v>
      </c>
      <c r="B25" s="92">
        <v>11.162302724803487</v>
      </c>
      <c r="C25" s="92">
        <v>11.738475678402787</v>
      </c>
      <c r="D25" s="92">
        <v>11.667113045981234</v>
      </c>
      <c r="E25" s="92">
        <v>9.3581010932645601</v>
      </c>
      <c r="F25" s="92">
        <v>8.6257935952331319</v>
      </c>
      <c r="G25" s="92">
        <v>10.069798598385919</v>
      </c>
      <c r="H25" s="92">
        <v>12.314701021300767</v>
      </c>
      <c r="I25" s="92">
        <v>12.060477755686284</v>
      </c>
      <c r="J25" s="92">
        <v>15.205064080220414</v>
      </c>
      <c r="K25" s="92">
        <v>14.170406781637855</v>
      </c>
      <c r="L25" s="92">
        <v>13.819005316999359</v>
      </c>
      <c r="M25" s="92">
        <v>12.672886291670979</v>
      </c>
      <c r="N25" s="92">
        <v>13.625231722649367</v>
      </c>
      <c r="O25" s="92">
        <v>14.91195396812898</v>
      </c>
      <c r="P25" s="92">
        <v>15.963383182622279</v>
      </c>
      <c r="Q25" s="92">
        <v>18.654948663873906</v>
      </c>
      <c r="R25" s="92">
        <v>18.160149606421808</v>
      </c>
      <c r="S25" s="92">
        <v>16.675267671459984</v>
      </c>
      <c r="T25" s="92">
        <v>16.934897042497091</v>
      </c>
      <c r="U25" s="92">
        <v>20.825019370520799</v>
      </c>
      <c r="V25" s="92">
        <v>25.114932477264418</v>
      </c>
      <c r="W25" s="92">
        <v>24.447105387296173</v>
      </c>
      <c r="X25" s="92">
        <v>20.722215471557217</v>
      </c>
      <c r="Y25" s="92">
        <v>19.285745271122639</v>
      </c>
      <c r="Z25" s="92">
        <v>14.906873020733716</v>
      </c>
      <c r="AA25" s="92">
        <v>20.150648289296633</v>
      </c>
      <c r="AB25" s="92">
        <v>30.063630608266322</v>
      </c>
      <c r="AC25" s="92">
        <v>35.520871942494637</v>
      </c>
      <c r="AD25" s="92">
        <v>27.56402168339222</v>
      </c>
      <c r="AE25" s="92">
        <v>33.009042127809771</v>
      </c>
      <c r="AF25" s="92">
        <v>30.861389632401249</v>
      </c>
      <c r="AG25" s="92">
        <v>32.947522738939874</v>
      </c>
      <c r="AH25" s="92">
        <v>41.685191081992734</v>
      </c>
      <c r="AI25" s="332">
        <v>39.431584305125732</v>
      </c>
      <c r="AJ25" s="290">
        <f>AI25+(AK25-AI25)/2</f>
        <v>40.959065969248755</v>
      </c>
      <c r="AK25" s="332">
        <v>42.486547633371771</v>
      </c>
      <c r="AL25" s="290">
        <f>AK25+(AN25-AK25)/3</f>
        <v>41.66389860793646</v>
      </c>
      <c r="AM25" s="290">
        <f>AK25+(AN25-AK25)*2/3</f>
        <v>40.841249582501142</v>
      </c>
      <c r="AN25" s="332">
        <v>40.018600557065831</v>
      </c>
      <c r="AO25" s="290">
        <f>AN25+(AP25-AN25)/2</f>
        <v>39.229614363005339</v>
      </c>
      <c r="AP25" s="332">
        <v>38.440628168944855</v>
      </c>
    </row>
    <row r="26" spans="1:42" ht="24">
      <c r="A26" s="91" t="s">
        <v>92</v>
      </c>
      <c r="B26" s="92">
        <v>4.4065685560301437</v>
      </c>
      <c r="C26" s="92">
        <v>4.8443049742296722</v>
      </c>
      <c r="D26" s="92">
        <v>4.7445735692751239</v>
      </c>
      <c r="E26" s="92">
        <v>4.6844030350708472</v>
      </c>
      <c r="F26" s="92">
        <v>4.4989415532997654</v>
      </c>
      <c r="G26" s="92">
        <v>4.6509622319281885</v>
      </c>
      <c r="H26" s="92">
        <v>5.1585740997265317</v>
      </c>
      <c r="I26" s="92">
        <v>4.7818837032175932</v>
      </c>
      <c r="J26" s="92">
        <v>4.6872667835168098</v>
      </c>
      <c r="K26" s="92">
        <v>4.6547847300589753</v>
      </c>
      <c r="L26" s="92">
        <v>4.5257976045806032</v>
      </c>
      <c r="M26" s="92">
        <v>4.7813471683140545</v>
      </c>
      <c r="N26" s="92">
        <v>4.9207757122068072</v>
      </c>
      <c r="O26" s="92">
        <v>5.2543609448950415</v>
      </c>
      <c r="P26" s="92">
        <v>5.4131207187106476</v>
      </c>
      <c r="Q26" s="92">
        <v>5.4267098777488911</v>
      </c>
      <c r="R26" s="92">
        <v>4.8129974997195948</v>
      </c>
      <c r="S26" s="92">
        <v>4.506887711754314</v>
      </c>
      <c r="T26" s="92">
        <v>5.8738575676455689</v>
      </c>
      <c r="U26" s="92">
        <v>6.4089602072562846</v>
      </c>
      <c r="V26" s="92">
        <v>7.4846222294563312</v>
      </c>
      <c r="W26" s="92">
        <v>7.6681812013064565</v>
      </c>
      <c r="X26" s="92">
        <v>10.329521162138033</v>
      </c>
      <c r="Y26" s="92">
        <v>11.088023012071302</v>
      </c>
      <c r="Z26" s="92">
        <v>10.820758514319886</v>
      </c>
      <c r="AA26" s="92">
        <v>14.741601820628489</v>
      </c>
      <c r="AB26" s="92">
        <v>16.867917097507114</v>
      </c>
      <c r="AC26" s="92">
        <v>18.089447843389166</v>
      </c>
      <c r="AD26" s="92">
        <v>17.890008699475221</v>
      </c>
      <c r="AE26" s="92">
        <v>16.663313070675429</v>
      </c>
      <c r="AF26" s="92">
        <v>16.076455064834306</v>
      </c>
      <c r="AG26" s="92">
        <v>20.878532350878107</v>
      </c>
      <c r="AH26" s="92">
        <v>17.60705381682514</v>
      </c>
      <c r="AI26" s="332">
        <v>37.083609356946283</v>
      </c>
      <c r="AJ26" s="290">
        <f t="shared" ref="AJ26:AJ33" si="5">AI26+(AK26-AI26)/2</f>
        <v>40.514638216323362</v>
      </c>
      <c r="AK26" s="332">
        <v>43.945667075700449</v>
      </c>
      <c r="AL26" s="290">
        <f t="shared" ref="AL26:AL33" si="6">AK26+(AN26-AK26)/3</f>
        <v>47.306172008641006</v>
      </c>
      <c r="AM26" s="290">
        <f t="shared" ref="AM26:AM33" si="7">AK26+(AN26-AK26)*2/3</f>
        <v>50.666676941581571</v>
      </c>
      <c r="AN26" s="332">
        <v>54.027181874522128</v>
      </c>
      <c r="AO26" s="290">
        <f t="shared" ref="AO26:AO33" si="8">AN26+(AP26-AN26)/2</f>
        <v>57.737719805681458</v>
      </c>
      <c r="AP26" s="332">
        <v>61.448257736840787</v>
      </c>
    </row>
    <row r="27" spans="1:42" ht="24">
      <c r="A27" s="91" t="s">
        <v>94</v>
      </c>
      <c r="B27" s="92">
        <v>15.774490401480561</v>
      </c>
      <c r="C27" s="92">
        <v>16.246835743284052</v>
      </c>
      <c r="D27" s="92">
        <v>16.389725607160599</v>
      </c>
      <c r="E27" s="92">
        <v>16.9329298015641</v>
      </c>
      <c r="F27" s="92">
        <v>16.836021667147172</v>
      </c>
      <c r="G27" s="92">
        <v>16.112926173963672</v>
      </c>
      <c r="H27" s="92">
        <v>17.826021407101571</v>
      </c>
      <c r="I27" s="92">
        <v>18.780124013732959</v>
      </c>
      <c r="J27" s="92">
        <v>18.375162494141726</v>
      </c>
      <c r="K27" s="92">
        <v>17.540565190491719</v>
      </c>
      <c r="L27" s="92">
        <v>18.600446203355816</v>
      </c>
      <c r="M27" s="92">
        <v>18.895338558350876</v>
      </c>
      <c r="N27" s="92">
        <v>17.892140032134861</v>
      </c>
      <c r="O27" s="92">
        <v>18.077494476489282</v>
      </c>
      <c r="P27" s="92">
        <v>17.879638208082788</v>
      </c>
      <c r="Q27" s="92">
        <v>18.308738543173657</v>
      </c>
      <c r="R27" s="92">
        <v>19.393163523985088</v>
      </c>
      <c r="S27" s="92">
        <v>20.052209664098012</v>
      </c>
      <c r="T27" s="92">
        <v>19.772702910929777</v>
      </c>
      <c r="U27" s="92">
        <v>21.100951497736091</v>
      </c>
      <c r="V27" s="92">
        <v>15.43497292961109</v>
      </c>
      <c r="W27" s="92">
        <v>13.233929842907241</v>
      </c>
      <c r="X27" s="92">
        <v>12.507655860767846</v>
      </c>
      <c r="Y27" s="92">
        <v>6.1647500851337895</v>
      </c>
      <c r="Z27" s="92">
        <v>6.278665590452345</v>
      </c>
      <c r="AA27" s="92">
        <v>6.5623506247059291</v>
      </c>
      <c r="AB27" s="92">
        <v>6.7041621596369758</v>
      </c>
      <c r="AC27" s="92">
        <v>6.5467153252813075</v>
      </c>
      <c r="AD27" s="92">
        <v>7.1092773343972855</v>
      </c>
      <c r="AE27" s="92">
        <v>6.6391888300961641</v>
      </c>
      <c r="AF27" s="92">
        <v>5.364863359436562</v>
      </c>
      <c r="AG27" s="92">
        <v>4.3344188101561061</v>
      </c>
      <c r="AH27" s="92">
        <v>4.9556855581679411</v>
      </c>
      <c r="AI27" s="332">
        <v>5.1890748340435735</v>
      </c>
      <c r="AJ27" s="290">
        <f t="shared" si="5"/>
        <v>5.3917136058948127</v>
      </c>
      <c r="AK27" s="332">
        <v>5.5943523777460529</v>
      </c>
      <c r="AL27" s="290">
        <f t="shared" si="6"/>
        <v>5.3885405575524556</v>
      </c>
      <c r="AM27" s="290">
        <f t="shared" si="7"/>
        <v>5.1827287373588593</v>
      </c>
      <c r="AN27" s="332">
        <v>4.9769169171652621</v>
      </c>
      <c r="AO27" s="290">
        <f t="shared" si="8"/>
        <v>4.8111459071594957</v>
      </c>
      <c r="AP27" s="332">
        <v>4.6453748971537294</v>
      </c>
    </row>
    <row r="28" spans="1:42" ht="60">
      <c r="A28" s="91" t="s">
        <v>96</v>
      </c>
      <c r="B28" s="92">
        <v>44.023824254855278</v>
      </c>
      <c r="C28" s="92">
        <v>42.666730135744132</v>
      </c>
      <c r="D28" s="92">
        <v>41.381062387102396</v>
      </c>
      <c r="E28" s="92">
        <v>36.290678953746806</v>
      </c>
      <c r="F28" s="92">
        <v>32.367889697448277</v>
      </c>
      <c r="G28" s="92">
        <v>34.439674511853269</v>
      </c>
      <c r="H28" s="92">
        <v>32.873103778163042</v>
      </c>
      <c r="I28" s="92">
        <v>31.463558991794542</v>
      </c>
      <c r="J28" s="92">
        <v>35.348821156823156</v>
      </c>
      <c r="K28" s="92">
        <v>31.409235399127752</v>
      </c>
      <c r="L28" s="92">
        <v>31.191136147737041</v>
      </c>
      <c r="M28" s="92">
        <v>30.670502706368612</v>
      </c>
      <c r="N28" s="92">
        <v>27.577599888808184</v>
      </c>
      <c r="O28" s="92">
        <v>28.110736629526198</v>
      </c>
      <c r="P28" s="92">
        <v>26.925640808239024</v>
      </c>
      <c r="Q28" s="92">
        <v>24.883456085204575</v>
      </c>
      <c r="R28" s="92">
        <v>25.559387682207767</v>
      </c>
      <c r="S28" s="92">
        <v>29.239048217798022</v>
      </c>
      <c r="T28" s="92">
        <v>18.929193566414906</v>
      </c>
      <c r="U28" s="92">
        <v>21.717556989125438</v>
      </c>
      <c r="V28" s="92">
        <v>19.74756</v>
      </c>
      <c r="W28" s="92">
        <v>6.361600000000001</v>
      </c>
      <c r="X28" s="92">
        <v>5.2077200000000001</v>
      </c>
      <c r="Y28" s="92">
        <v>7.4472692000000009</v>
      </c>
      <c r="Z28" s="92">
        <v>4.6071283999999997</v>
      </c>
      <c r="AA28" s="92">
        <v>5.8970744000000002</v>
      </c>
      <c r="AB28" s="92">
        <v>7.3308619999999998</v>
      </c>
      <c r="AC28" s="92">
        <v>7.8934436000000003</v>
      </c>
      <c r="AD28" s="92">
        <v>8.8914035000000009</v>
      </c>
      <c r="AE28" s="92">
        <v>5.4792616400168637</v>
      </c>
      <c r="AF28" s="92">
        <v>17.66156294</v>
      </c>
      <c r="AG28" s="92">
        <v>8.5611967559999993</v>
      </c>
      <c r="AH28" s="92">
        <v>8.5340511269271069</v>
      </c>
      <c r="AI28" s="332">
        <v>1.2434472972253989</v>
      </c>
      <c r="AJ28" s="290">
        <f t="shared" si="5"/>
        <v>1.2385001528827173</v>
      </c>
      <c r="AK28" s="332">
        <v>1.2335530085400355</v>
      </c>
      <c r="AL28" s="290">
        <f t="shared" si="6"/>
        <v>1.2034726935232603</v>
      </c>
      <c r="AM28" s="290">
        <f t="shared" si="7"/>
        <v>1.1733923785064853</v>
      </c>
      <c r="AN28" s="332">
        <v>1.14331206348971</v>
      </c>
      <c r="AO28" s="290">
        <f t="shared" si="8"/>
        <v>1.1163358951076874</v>
      </c>
      <c r="AP28" s="332">
        <v>1.0893597267256647</v>
      </c>
    </row>
    <row r="29" spans="1:42" ht="48">
      <c r="A29" s="91" t="s">
        <v>357</v>
      </c>
      <c r="B29" s="92">
        <v>5354.1040000000003</v>
      </c>
      <c r="C29" s="92">
        <v>4968.5364731654872</v>
      </c>
      <c r="D29" s="92">
        <v>5188.753986979058</v>
      </c>
      <c r="E29" s="92">
        <v>5420.5624232662312</v>
      </c>
      <c r="F29" s="92">
        <v>5541.8104037829953</v>
      </c>
      <c r="G29" s="92">
        <v>5491.4730903692243</v>
      </c>
      <c r="H29" s="92">
        <v>4173.8095690077444</v>
      </c>
      <c r="I29" s="92">
        <v>3552.024686628693</v>
      </c>
      <c r="J29" s="92">
        <v>3446.5172708405435</v>
      </c>
      <c r="K29" s="92">
        <v>3274.2751500356489</v>
      </c>
      <c r="L29" s="92">
        <v>2245.1396437059939</v>
      </c>
      <c r="M29" s="92">
        <v>2018.7791069056102</v>
      </c>
      <c r="N29" s="92">
        <v>1342.2459787879104</v>
      </c>
      <c r="O29" s="92">
        <v>1280.9441602510849</v>
      </c>
      <c r="P29" s="92">
        <v>746.42789513523519</v>
      </c>
      <c r="Q29" s="92">
        <v>414.59600000000006</v>
      </c>
      <c r="R29" s="92">
        <v>264.51600000000002</v>
      </c>
      <c r="S29" s="92">
        <v>39.396000000000008</v>
      </c>
      <c r="T29" s="92">
        <v>39.396000000000008</v>
      </c>
      <c r="U29" s="92">
        <v>39.396000000000008</v>
      </c>
      <c r="V29" s="92">
        <v>39.396000000000008</v>
      </c>
      <c r="W29" s="92">
        <v>30.016000000000002</v>
      </c>
      <c r="X29" s="92">
        <v>13.132</v>
      </c>
      <c r="Y29" s="92">
        <v>15.008000000000001</v>
      </c>
      <c r="Z29" s="92">
        <v>11.256</v>
      </c>
      <c r="AA29" s="92">
        <v>11.256</v>
      </c>
      <c r="AB29" s="92">
        <v>11.256</v>
      </c>
      <c r="AC29" s="92">
        <v>11.256</v>
      </c>
      <c r="AD29" s="92">
        <v>11.256</v>
      </c>
      <c r="AE29" s="92">
        <v>11.256</v>
      </c>
      <c r="AF29" s="92">
        <v>11.256</v>
      </c>
      <c r="AG29" s="92">
        <v>1.313199999999997</v>
      </c>
      <c r="AH29" s="92">
        <v>1.313199999999997</v>
      </c>
      <c r="AI29" s="332">
        <v>1.3131999999999966</v>
      </c>
      <c r="AJ29" s="290">
        <f t="shared" si="5"/>
        <v>1.3131999999999966</v>
      </c>
      <c r="AK29" s="332">
        <v>1.3131999999999966</v>
      </c>
      <c r="AL29" s="290">
        <f t="shared" si="6"/>
        <v>1.3131999999999966</v>
      </c>
      <c r="AM29" s="290">
        <f t="shared" si="7"/>
        <v>1.3131999999999966</v>
      </c>
      <c r="AN29" s="332">
        <v>1.3131999999999966</v>
      </c>
      <c r="AO29" s="290">
        <f t="shared" si="8"/>
        <v>1.3131999999999966</v>
      </c>
      <c r="AP29" s="332">
        <v>1.3131999999999966</v>
      </c>
    </row>
    <row r="30" spans="1:42" ht="48">
      <c r="A30" s="91" t="s">
        <v>358</v>
      </c>
      <c r="B30" s="92">
        <v>297.17195782397556</v>
      </c>
      <c r="C30" s="92">
        <v>290.952791717585</v>
      </c>
      <c r="D30" s="92">
        <v>283.07959815126839</v>
      </c>
      <c r="E30" s="92">
        <v>272.89852822728267</v>
      </c>
      <c r="F30" s="92">
        <v>275.14920093322826</v>
      </c>
      <c r="G30" s="92">
        <v>247.65669971479824</v>
      </c>
      <c r="H30" s="92">
        <v>210.98047302250933</v>
      </c>
      <c r="I30" s="92">
        <v>180.1112529871846</v>
      </c>
      <c r="J30" s="92">
        <v>172.62694339282191</v>
      </c>
      <c r="K30" s="92">
        <v>155.56997772352608</v>
      </c>
      <c r="L30" s="92">
        <v>144.30717047233796</v>
      </c>
      <c r="M30" s="92">
        <v>140.70933524254559</v>
      </c>
      <c r="N30" s="92">
        <v>134.0347570778014</v>
      </c>
      <c r="O30" s="92">
        <v>125.58896286920552</v>
      </c>
      <c r="P30" s="92">
        <v>117.68851290948399</v>
      </c>
      <c r="Q30" s="92">
        <v>111.68651499247271</v>
      </c>
      <c r="R30" s="92">
        <v>109.8895585583937</v>
      </c>
      <c r="S30" s="92">
        <v>101.57024306362932</v>
      </c>
      <c r="T30" s="92">
        <v>100.58920280396818</v>
      </c>
      <c r="U30" s="92">
        <v>91.289183936262447</v>
      </c>
      <c r="V30" s="92">
        <v>91.60587301501495</v>
      </c>
      <c r="W30" s="92">
        <v>91.981738255297557</v>
      </c>
      <c r="X30" s="92">
        <v>81.981228650222889</v>
      </c>
      <c r="Y30" s="92">
        <v>80.811290806960258</v>
      </c>
      <c r="Z30" s="92">
        <v>77.752488394602565</v>
      </c>
      <c r="AA30" s="92">
        <v>84.912798195391318</v>
      </c>
      <c r="AB30" s="92">
        <v>83.031191473861711</v>
      </c>
      <c r="AC30" s="92">
        <v>77.441669017497617</v>
      </c>
      <c r="AD30" s="92">
        <v>78.880990598505775</v>
      </c>
      <c r="AE30" s="92">
        <v>72.842747439013763</v>
      </c>
      <c r="AF30" s="92">
        <v>64.252695756126712</v>
      </c>
      <c r="AG30" s="92">
        <v>64.901119965467515</v>
      </c>
      <c r="AH30" s="92">
        <v>76.193862398850541</v>
      </c>
      <c r="AI30" s="332">
        <v>757.80805634375861</v>
      </c>
      <c r="AJ30" s="290">
        <f t="shared" si="5"/>
        <v>757.8000268485232</v>
      </c>
      <c r="AK30" s="332">
        <v>757.79199735328768</v>
      </c>
      <c r="AL30" s="290">
        <f t="shared" si="6"/>
        <v>757.76935757431613</v>
      </c>
      <c r="AM30" s="290">
        <f t="shared" si="7"/>
        <v>757.74671779534458</v>
      </c>
      <c r="AN30" s="332">
        <v>757.72407801637303</v>
      </c>
      <c r="AO30" s="290">
        <f t="shared" si="8"/>
        <v>757.70151259486011</v>
      </c>
      <c r="AP30" s="332">
        <v>757.67894717334707</v>
      </c>
    </row>
    <row r="31" spans="1:42" ht="48">
      <c r="A31" s="91" t="s">
        <v>359</v>
      </c>
      <c r="B31" s="92">
        <v>1717.1721445001454</v>
      </c>
      <c r="C31" s="92">
        <v>1722.6032395168265</v>
      </c>
      <c r="D31" s="92">
        <v>1674.4557427618508</v>
      </c>
      <c r="E31" s="92">
        <v>1643.9395135671202</v>
      </c>
      <c r="F31" s="92">
        <v>1609.731041074012</v>
      </c>
      <c r="G31" s="92">
        <v>1568.2491001929195</v>
      </c>
      <c r="H31" s="92">
        <v>1525.4496016623373</v>
      </c>
      <c r="I31" s="92">
        <v>1517.3601628260674</v>
      </c>
      <c r="J31" s="92">
        <v>1531.3386203368411</v>
      </c>
      <c r="K31" s="92">
        <v>1529.8275480562957</v>
      </c>
      <c r="L31" s="92">
        <v>1544.8708591450647</v>
      </c>
      <c r="M31" s="92">
        <v>1520.2873804492781</v>
      </c>
      <c r="N31" s="92">
        <v>1545.3660079379283</v>
      </c>
      <c r="O31" s="92">
        <v>1521.9242894131087</v>
      </c>
      <c r="P31" s="92">
        <v>1524.4590145860479</v>
      </c>
      <c r="Q31" s="92">
        <v>1492.1853499651463</v>
      </c>
      <c r="R31" s="92">
        <v>1518.2955659749407</v>
      </c>
      <c r="S31" s="92">
        <v>1491.2732539196888</v>
      </c>
      <c r="T31" s="92">
        <v>1490.6045070424896</v>
      </c>
      <c r="U31" s="92">
        <v>1491.6342906570969</v>
      </c>
      <c r="V31" s="92">
        <v>1573.0954305593775</v>
      </c>
      <c r="W31" s="92">
        <v>1507.3012668555004</v>
      </c>
      <c r="X31" s="92">
        <v>1498.4612499533364</v>
      </c>
      <c r="Y31" s="92">
        <v>1443.2394715545202</v>
      </c>
      <c r="Z31" s="92">
        <v>1284.763252351541</v>
      </c>
      <c r="AA31" s="92">
        <v>1252.2591446385475</v>
      </c>
      <c r="AB31" s="92">
        <v>1278.3406749917954</v>
      </c>
      <c r="AC31" s="92">
        <v>1177.8968732516389</v>
      </c>
      <c r="AD31" s="92">
        <v>1116.6997879792384</v>
      </c>
      <c r="AE31" s="92">
        <v>1038.6680705636741</v>
      </c>
      <c r="AF31" s="92">
        <v>861.05190131046459</v>
      </c>
      <c r="AG31" s="92">
        <v>854.79320839454419</v>
      </c>
      <c r="AH31" s="92">
        <v>771.96702520882013</v>
      </c>
      <c r="AI31" s="332">
        <v>860.81442199081346</v>
      </c>
      <c r="AJ31" s="290">
        <f t="shared" si="5"/>
        <v>849.7168645280567</v>
      </c>
      <c r="AK31" s="332">
        <v>838.61930706529984</v>
      </c>
      <c r="AL31" s="290">
        <f t="shared" si="6"/>
        <v>811.80349570146348</v>
      </c>
      <c r="AM31" s="290">
        <f t="shared" si="7"/>
        <v>784.987684337627</v>
      </c>
      <c r="AN31" s="332">
        <v>758.17187297379064</v>
      </c>
      <c r="AO31" s="290">
        <f t="shared" si="8"/>
        <v>730.66591847776544</v>
      </c>
      <c r="AP31" s="332">
        <v>703.15996398174013</v>
      </c>
    </row>
    <row r="32" spans="1:42" ht="36">
      <c r="A32" s="91" t="s">
        <v>409</v>
      </c>
      <c r="B32" s="92">
        <v>39.003999999999998</v>
      </c>
      <c r="C32" s="92">
        <v>35.238</v>
      </c>
      <c r="D32" s="92">
        <v>31.472000000000001</v>
      </c>
      <c r="E32" s="92">
        <v>27.706000000000003</v>
      </c>
      <c r="F32" s="92">
        <v>23.939999999999998</v>
      </c>
      <c r="G32" s="92">
        <v>20.173999999999999</v>
      </c>
      <c r="H32" s="92">
        <v>16.407999999999998</v>
      </c>
      <c r="I32" s="92">
        <v>12.641999999999999</v>
      </c>
      <c r="J32" s="92">
        <v>8.8759999999999994</v>
      </c>
      <c r="K32" s="92">
        <v>5.1099999999999994</v>
      </c>
      <c r="L32" s="92">
        <v>1.3440000000000001</v>
      </c>
      <c r="M32" s="92">
        <v>1.3440000000000001</v>
      </c>
      <c r="N32" s="92">
        <v>1.3440000000000001</v>
      </c>
      <c r="O32" s="92">
        <v>1.3280000000000045</v>
      </c>
      <c r="P32" s="92">
        <v>1.3120000000000012</v>
      </c>
      <c r="Q32" s="92">
        <v>1.2959999999999976</v>
      </c>
      <c r="R32" s="92">
        <v>1.2800000000000022</v>
      </c>
      <c r="S32" s="92">
        <v>1.2639999999999989</v>
      </c>
      <c r="T32" s="92">
        <v>1.2480000000000036</v>
      </c>
      <c r="U32" s="92">
        <v>1.232</v>
      </c>
      <c r="V32" s="92">
        <v>1.1200000000000001</v>
      </c>
      <c r="W32" s="92">
        <v>1.008</v>
      </c>
      <c r="X32" s="92">
        <v>1.1200000000000001</v>
      </c>
      <c r="Y32" s="92">
        <v>1.337277363672033</v>
      </c>
      <c r="Z32" s="92">
        <v>1.2830495619197118</v>
      </c>
      <c r="AA32" s="92">
        <v>1.654661958938155</v>
      </c>
      <c r="AB32" s="92">
        <v>2.1175205963122754</v>
      </c>
      <c r="AC32" s="92">
        <v>1.5826755590427621</v>
      </c>
      <c r="AD32" s="92">
        <v>1.0164142801098515</v>
      </c>
      <c r="AE32" s="92">
        <v>0.92743821106316637</v>
      </c>
      <c r="AF32" s="92">
        <v>0.97156008892375967</v>
      </c>
      <c r="AG32" s="92">
        <v>0.97156008892375967</v>
      </c>
      <c r="AH32" s="92">
        <v>0.97156008892375967</v>
      </c>
      <c r="AI32" s="290">
        <v>0</v>
      </c>
      <c r="AJ32" s="290">
        <f t="shared" si="5"/>
        <v>0</v>
      </c>
      <c r="AK32" s="290">
        <v>0</v>
      </c>
      <c r="AL32" s="290">
        <f t="shared" si="6"/>
        <v>0</v>
      </c>
      <c r="AM32" s="290">
        <f t="shared" si="7"/>
        <v>0</v>
      </c>
      <c r="AN32" s="290">
        <v>0</v>
      </c>
      <c r="AO32" s="290">
        <f t="shared" si="8"/>
        <v>0</v>
      </c>
      <c r="AP32" s="290">
        <v>0</v>
      </c>
    </row>
    <row r="33" spans="1:42" ht="36">
      <c r="A33" s="91" t="s">
        <v>99</v>
      </c>
      <c r="B33" s="92">
        <v>3.5314828415999998E-2</v>
      </c>
      <c r="C33" s="92">
        <v>3.8605651056000008E-2</v>
      </c>
      <c r="D33" s="92">
        <v>4.1896473696000011E-2</v>
      </c>
      <c r="E33" s="92">
        <v>4.5210402720000001E-2</v>
      </c>
      <c r="F33" s="92">
        <v>4.5532986347520003E-2</v>
      </c>
      <c r="G33" s="92">
        <v>4.5855569975040006E-2</v>
      </c>
      <c r="H33" s="92">
        <v>4.7056088963519996E-2</v>
      </c>
      <c r="I33" s="92">
        <v>4.792591232352001E-2</v>
      </c>
      <c r="J33" s="92">
        <v>4.8456624323519999E-2</v>
      </c>
      <c r="K33" s="92">
        <v>5.332121216352001E-2</v>
      </c>
      <c r="L33" s="92">
        <v>5.5658559801599998E-2</v>
      </c>
      <c r="M33" s="92">
        <v>5.99346642384E-2</v>
      </c>
      <c r="N33" s="92">
        <v>6.4210768675199995E-2</v>
      </c>
      <c r="O33" s="92">
        <v>6.73410087504E-2</v>
      </c>
      <c r="P33" s="92">
        <v>7.0471248825600019E-2</v>
      </c>
      <c r="Q33" s="92">
        <v>6.8883165288000009E-2</v>
      </c>
      <c r="R33" s="92">
        <v>6.7295081750400013E-2</v>
      </c>
      <c r="S33" s="92">
        <v>6.8972577631776E-2</v>
      </c>
      <c r="T33" s="92">
        <v>7.0650073513152001E-2</v>
      </c>
      <c r="U33" s="92">
        <v>7.2809366485968058E-2</v>
      </c>
      <c r="V33" s="92">
        <v>7.4968659458784059E-2</v>
      </c>
      <c r="W33" s="92">
        <v>7.613835178219204E-2</v>
      </c>
      <c r="X33" s="92">
        <v>7.7308044105600021E-2</v>
      </c>
      <c r="Y33" s="92">
        <v>7.7932259395200001E-2</v>
      </c>
      <c r="Z33" s="92">
        <v>7.855647468480001E-2</v>
      </c>
      <c r="AA33" s="92">
        <v>7.8390141379200001E-2</v>
      </c>
      <c r="AB33" s="92">
        <v>7.8223808073600021E-2</v>
      </c>
      <c r="AC33" s="92">
        <v>7.8983552320848013E-2</v>
      </c>
      <c r="AD33" s="92">
        <v>7.9743296568096006E-2</v>
      </c>
      <c r="AE33" s="92">
        <v>7.9216446817872016E-2</v>
      </c>
      <c r="AF33" s="92">
        <v>7.8689597067648054E-2</v>
      </c>
      <c r="AG33" s="92">
        <v>6.6784349065492965E-2</v>
      </c>
      <c r="AH33" s="92">
        <v>6.6784349065492951E-2</v>
      </c>
      <c r="AI33" s="332">
        <v>7.6361505360750273E-2</v>
      </c>
      <c r="AJ33" s="290">
        <f t="shared" si="5"/>
        <v>7.5481135864572974E-2</v>
      </c>
      <c r="AK33" s="332">
        <v>7.4600766368395688E-2</v>
      </c>
      <c r="AL33" s="290">
        <f t="shared" si="6"/>
        <v>7.3720591658080564E-2</v>
      </c>
      <c r="AM33" s="290">
        <f t="shared" si="7"/>
        <v>7.2840416947765427E-2</v>
      </c>
      <c r="AN33" s="332">
        <v>7.1960242237450303E-2</v>
      </c>
      <c r="AO33" s="290">
        <f t="shared" si="8"/>
        <v>7.1079994241457584E-2</v>
      </c>
      <c r="AP33" s="332">
        <v>7.019974624546485E-2</v>
      </c>
    </row>
    <row r="34" spans="1:42" ht="60">
      <c r="A34" s="91" t="s">
        <v>410</v>
      </c>
      <c r="B34" s="143">
        <v>0</v>
      </c>
      <c r="C34" s="143">
        <v>0</v>
      </c>
      <c r="D34" s="143">
        <v>0</v>
      </c>
      <c r="E34" s="143">
        <v>0</v>
      </c>
      <c r="F34" s="143">
        <v>0</v>
      </c>
      <c r="G34" s="143">
        <v>0</v>
      </c>
      <c r="H34" s="143">
        <v>0</v>
      </c>
      <c r="I34" s="143">
        <v>0</v>
      </c>
      <c r="J34" s="143">
        <v>0</v>
      </c>
      <c r="K34" s="143">
        <v>0</v>
      </c>
      <c r="L34" s="143">
        <v>0</v>
      </c>
      <c r="M34" s="143">
        <v>0</v>
      </c>
      <c r="N34" s="143">
        <v>0</v>
      </c>
      <c r="O34" s="143">
        <v>0</v>
      </c>
      <c r="P34" s="143">
        <v>0</v>
      </c>
      <c r="Q34" s="143">
        <v>0</v>
      </c>
      <c r="R34" s="143">
        <v>0</v>
      </c>
      <c r="S34" s="143">
        <v>0</v>
      </c>
      <c r="T34" s="143">
        <v>0</v>
      </c>
      <c r="U34" s="143">
        <v>0</v>
      </c>
      <c r="V34" s="143">
        <v>0</v>
      </c>
      <c r="W34" s="143">
        <v>0</v>
      </c>
      <c r="X34" s="143">
        <v>0</v>
      </c>
      <c r="Y34" s="143">
        <v>0</v>
      </c>
      <c r="Z34" s="143">
        <v>0</v>
      </c>
      <c r="AA34" s="143">
        <v>0</v>
      </c>
      <c r="AB34" s="143">
        <v>0</v>
      </c>
      <c r="AC34" s="143">
        <v>0</v>
      </c>
      <c r="AD34" s="143">
        <v>0</v>
      </c>
      <c r="AE34" s="143">
        <v>0</v>
      </c>
      <c r="AF34" s="143">
        <v>0</v>
      </c>
      <c r="AG34" s="143">
        <v>0</v>
      </c>
      <c r="AH34" s="143">
        <v>0</v>
      </c>
      <c r="AI34" s="290">
        <v>0</v>
      </c>
      <c r="AJ34" s="290">
        <v>0</v>
      </c>
      <c r="AK34" s="290">
        <v>0</v>
      </c>
      <c r="AL34" s="290">
        <v>0</v>
      </c>
      <c r="AM34" s="290">
        <v>0</v>
      </c>
      <c r="AN34" s="290">
        <v>0</v>
      </c>
      <c r="AO34" s="290">
        <v>0</v>
      </c>
      <c r="AP34" s="290">
        <v>0</v>
      </c>
    </row>
    <row r="35" spans="1:42">
      <c r="A35" s="93" t="s">
        <v>411</v>
      </c>
      <c r="B35" s="94">
        <v>7482.854603089706</v>
      </c>
      <c r="C35" s="94">
        <v>7092.8654565826155</v>
      </c>
      <c r="D35" s="94">
        <v>7251.9856989753926</v>
      </c>
      <c r="E35" s="94">
        <v>7432.4177883470002</v>
      </c>
      <c r="F35" s="94">
        <v>7513.0048252897113</v>
      </c>
      <c r="G35" s="94">
        <v>7392.8721073630486</v>
      </c>
      <c r="H35" s="94">
        <v>5994.8671000878467</v>
      </c>
      <c r="I35" s="94">
        <v>5329.2720728186996</v>
      </c>
      <c r="J35" s="94">
        <v>5233.0236057092316</v>
      </c>
      <c r="K35" s="94">
        <v>5032.6109891289507</v>
      </c>
      <c r="L35" s="94">
        <v>4003.853717155871</v>
      </c>
      <c r="M35" s="94">
        <v>3748.1998319863769</v>
      </c>
      <c r="N35" s="94">
        <v>3087.0707019281149</v>
      </c>
      <c r="O35" s="94">
        <v>2996.2072995611888</v>
      </c>
      <c r="P35" s="94">
        <v>2456.1396767972469</v>
      </c>
      <c r="Q35" s="94">
        <v>2087.1066012929077</v>
      </c>
      <c r="R35" s="94">
        <v>1961.9741179274192</v>
      </c>
      <c r="S35" s="94">
        <v>1704.0458828260601</v>
      </c>
      <c r="T35" s="94">
        <v>1693.4190110074583</v>
      </c>
      <c r="U35" s="94">
        <v>1693.6767720244839</v>
      </c>
      <c r="V35" s="94">
        <v>1773.0743598701831</v>
      </c>
      <c r="W35" s="94">
        <v>1682.0939598940902</v>
      </c>
      <c r="X35" s="94">
        <v>1643.538899142128</v>
      </c>
      <c r="Y35" s="94">
        <v>1584.4597595528755</v>
      </c>
      <c r="Z35" s="94">
        <v>1411.7467723082541</v>
      </c>
      <c r="AA35" s="94">
        <v>1397.512670068887</v>
      </c>
      <c r="AB35" s="94">
        <v>1435.7901827354533</v>
      </c>
      <c r="AC35" s="94">
        <v>1336.3066800916652</v>
      </c>
      <c r="AD35" s="94">
        <v>1269.3876473716866</v>
      </c>
      <c r="AE35" s="94">
        <v>1185.5642783291671</v>
      </c>
      <c r="AF35" s="94">
        <v>1007.5751177492548</v>
      </c>
      <c r="AG35" s="94">
        <v>988.76754345397512</v>
      </c>
      <c r="AH35" s="94">
        <v>923.29441362957289</v>
      </c>
      <c r="AI35" s="353">
        <f>SUM(AI25:AI34)</f>
        <v>1702.9597556332737</v>
      </c>
      <c r="AJ35" s="353">
        <f t="shared" ref="AJ35:AP35" si="9">SUM(AJ25:AJ34)</f>
        <v>1697.0094904567941</v>
      </c>
      <c r="AK35" s="353">
        <f t="shared" si="9"/>
        <v>1691.0592252803142</v>
      </c>
      <c r="AL35" s="353">
        <f t="shared" si="9"/>
        <v>1666.5218577350906</v>
      </c>
      <c r="AM35" s="353">
        <f t="shared" si="9"/>
        <v>1641.9844901898673</v>
      </c>
      <c r="AN35" s="353">
        <f t="shared" si="9"/>
        <v>1617.4471226446442</v>
      </c>
      <c r="AO35" s="353">
        <f t="shared" si="9"/>
        <v>1592.646527037821</v>
      </c>
      <c r="AP35" s="353">
        <f t="shared" si="9"/>
        <v>1567.8459314309978</v>
      </c>
    </row>
    <row r="36" spans="1:42" ht="15">
      <c r="A36" s="95"/>
      <c r="B36" s="96"/>
      <c r="C36" s="96"/>
      <c r="D36" s="96"/>
      <c r="E36" s="96"/>
      <c r="F36" s="96"/>
      <c r="G36" s="96"/>
      <c r="H36" s="96"/>
      <c r="I36" s="96"/>
      <c r="J36" s="96"/>
      <c r="K36" s="70"/>
      <c r="L36" s="70"/>
      <c r="M36" s="70"/>
      <c r="N36" s="70"/>
      <c r="O36" s="70"/>
      <c r="P36" s="70"/>
      <c r="Q36" s="70"/>
      <c r="R36" s="70"/>
      <c r="S36" s="70"/>
      <c r="T36" s="70"/>
      <c r="U36" s="70"/>
      <c r="V36" s="70"/>
      <c r="W36" s="70"/>
      <c r="X36" s="70"/>
      <c r="Y36" s="70"/>
      <c r="Z36" s="70"/>
      <c r="AA36" s="70"/>
      <c r="AB36" s="70"/>
      <c r="AC36" s="70"/>
      <c r="AD36" s="70"/>
      <c r="AE36" s="70"/>
      <c r="AF36" s="70"/>
      <c r="AG36" s="97"/>
      <c r="AH36" s="70"/>
      <c r="AJ36" s="153"/>
    </row>
    <row r="37" spans="1:42">
      <c r="A37" s="98" t="s">
        <v>397</v>
      </c>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426" t="s">
        <v>393</v>
      </c>
      <c r="AJ37" s="426"/>
      <c r="AK37" s="426"/>
      <c r="AL37" s="426"/>
      <c r="AM37" s="426"/>
      <c r="AN37" s="426"/>
      <c r="AO37" s="426"/>
      <c r="AP37" s="426"/>
    </row>
    <row r="38" spans="1:42" ht="105.6">
      <c r="A38" s="75" t="s">
        <v>481</v>
      </c>
      <c r="B38" s="76">
        <v>1990</v>
      </c>
      <c r="C38" s="76">
        <v>1991</v>
      </c>
      <c r="D38" s="76">
        <v>1992</v>
      </c>
      <c r="E38" s="76">
        <v>1993</v>
      </c>
      <c r="F38" s="76">
        <v>1994</v>
      </c>
      <c r="G38" s="76">
        <v>1995</v>
      </c>
      <c r="H38" s="76">
        <v>1996</v>
      </c>
      <c r="I38" s="76">
        <v>1997</v>
      </c>
      <c r="J38" s="76">
        <v>1998</v>
      </c>
      <c r="K38" s="76">
        <v>1999</v>
      </c>
      <c r="L38" s="76">
        <v>2000</v>
      </c>
      <c r="M38" s="76">
        <v>2001</v>
      </c>
      <c r="N38" s="76">
        <v>2002</v>
      </c>
      <c r="O38" s="76">
        <v>2003</v>
      </c>
      <c r="P38" s="76">
        <v>2004</v>
      </c>
      <c r="Q38" s="76">
        <v>2005</v>
      </c>
      <c r="R38" s="76">
        <v>2006</v>
      </c>
      <c r="S38" s="76">
        <v>2007</v>
      </c>
      <c r="T38" s="76">
        <v>2008</v>
      </c>
      <c r="U38" s="76">
        <v>2009</v>
      </c>
      <c r="V38" s="76">
        <v>2010</v>
      </c>
      <c r="W38" s="76">
        <v>2011</v>
      </c>
      <c r="X38" s="76">
        <v>2012</v>
      </c>
      <c r="Y38" s="76">
        <v>2013</v>
      </c>
      <c r="Z38" s="76">
        <v>2014</v>
      </c>
      <c r="AA38" s="76">
        <v>2015</v>
      </c>
      <c r="AB38" s="76">
        <v>2016</v>
      </c>
      <c r="AC38" s="76">
        <v>2017</v>
      </c>
      <c r="AD38" s="76">
        <v>2018</v>
      </c>
      <c r="AE38" s="76">
        <v>2019</v>
      </c>
      <c r="AF38" s="76">
        <v>2020</v>
      </c>
      <c r="AG38" s="77">
        <v>2021</v>
      </c>
      <c r="AH38" s="77" t="s">
        <v>395</v>
      </c>
      <c r="AI38" s="76">
        <v>2023</v>
      </c>
      <c r="AJ38" s="152">
        <v>2024</v>
      </c>
      <c r="AK38" s="76">
        <v>2025</v>
      </c>
      <c r="AL38" s="152">
        <v>2026</v>
      </c>
      <c r="AM38" s="152">
        <v>2027</v>
      </c>
      <c r="AN38" s="76">
        <v>2028</v>
      </c>
      <c r="AO38" s="152">
        <v>2029</v>
      </c>
      <c r="AP38" s="76">
        <v>2030</v>
      </c>
    </row>
    <row r="39" spans="1:42">
      <c r="A39" s="100" t="s">
        <v>120</v>
      </c>
      <c r="B39" s="92">
        <v>109.33314038541003</v>
      </c>
      <c r="C39" s="92">
        <v>125.42834796463146</v>
      </c>
      <c r="D39" s="92">
        <v>127.72080076276728</v>
      </c>
      <c r="E39" s="92">
        <v>118.64258458762876</v>
      </c>
      <c r="F39" s="92">
        <v>127.51716657984801</v>
      </c>
      <c r="G39" s="92">
        <v>131.35344114847169</v>
      </c>
      <c r="H39" s="92">
        <v>136.77892728186845</v>
      </c>
      <c r="I39" s="92">
        <v>143.91955951695635</v>
      </c>
      <c r="J39" s="92">
        <v>133.28532661018707</v>
      </c>
      <c r="K39" s="92">
        <v>135.15964828245225</v>
      </c>
      <c r="L39" s="92">
        <v>137.02373527142007</v>
      </c>
      <c r="M39" s="92">
        <v>144.98881955136318</v>
      </c>
      <c r="N39" s="92">
        <v>136.75638933649856</v>
      </c>
      <c r="O39" s="92">
        <v>150.64255236625513</v>
      </c>
      <c r="P39" s="92">
        <v>158.06864044132763</v>
      </c>
      <c r="Q39" s="92">
        <v>135.62542896979684</v>
      </c>
      <c r="R39" s="92">
        <v>128.86697202169336</v>
      </c>
      <c r="S39" s="92">
        <v>119.64331536041855</v>
      </c>
      <c r="T39" s="92">
        <v>106.50150560478599</v>
      </c>
      <c r="U39" s="92">
        <v>93.733465624394398</v>
      </c>
      <c r="V39" s="92">
        <v>112.55764142925652</v>
      </c>
      <c r="W39" s="92">
        <v>79.524066530294945</v>
      </c>
      <c r="X39" s="92">
        <v>69.737569641373412</v>
      </c>
      <c r="Y39" s="92">
        <v>73.051521793283499</v>
      </c>
      <c r="Z39" s="92">
        <v>82.787563575439947</v>
      </c>
      <c r="AA39" s="92">
        <v>77.29079584536224</v>
      </c>
      <c r="AB39" s="92">
        <v>74.722595303862448</v>
      </c>
      <c r="AC39" s="92">
        <v>69.760812200283738</v>
      </c>
      <c r="AD39" s="92">
        <v>62.391902325491657</v>
      </c>
      <c r="AE39" s="92">
        <v>60.543953332526975</v>
      </c>
      <c r="AF39" s="92">
        <v>59.566506972611577</v>
      </c>
      <c r="AG39" s="92">
        <v>62.620514078449773</v>
      </c>
      <c r="AH39" s="92">
        <v>59.14577179805417</v>
      </c>
      <c r="AI39" s="338">
        <v>63.331667022393709</v>
      </c>
      <c r="AJ39" s="338">
        <f>AI39+(AK39-AI39)/2</f>
        <v>62.397102429453639</v>
      </c>
      <c r="AK39" s="338">
        <v>61.462537836513562</v>
      </c>
      <c r="AL39" s="338">
        <f>AK39+(AN39-AK39)/3</f>
        <v>60.484958598184427</v>
      </c>
      <c r="AM39" s="338">
        <f>AK39+(AN39-AK39)*2/3</f>
        <v>59.5073793598553</v>
      </c>
      <c r="AN39" s="338">
        <v>58.529800121526165</v>
      </c>
      <c r="AO39" s="338">
        <f>AN39+(AP39-AN39)/2</f>
        <v>57.557313787206404</v>
      </c>
      <c r="AP39" s="338">
        <v>56.584827452886643</v>
      </c>
    </row>
    <row r="40" spans="1:42">
      <c r="A40" s="100" t="s">
        <v>27</v>
      </c>
      <c r="B40" s="92">
        <v>4.3266658902390294</v>
      </c>
      <c r="C40" s="92">
        <v>4.4044154809972964</v>
      </c>
      <c r="D40" s="92">
        <v>4.4439232545450089</v>
      </c>
      <c r="E40" s="92">
        <v>4.4125427910010666</v>
      </c>
      <c r="F40" s="92">
        <v>3.6015974892479656</v>
      </c>
      <c r="G40" s="92">
        <v>4.0009189283011173</v>
      </c>
      <c r="H40" s="92">
        <v>4.0635941179727375</v>
      </c>
      <c r="I40" s="92">
        <v>3.814313642972686</v>
      </c>
      <c r="J40" s="92">
        <v>6.2054356641917829</v>
      </c>
      <c r="K40" s="92">
        <v>5.5684938417248357</v>
      </c>
      <c r="L40" s="92">
        <v>4.6621682935410869</v>
      </c>
      <c r="M40" s="92">
        <v>5.3232944973612994</v>
      </c>
      <c r="N40" s="92">
        <v>6.267837232087901</v>
      </c>
      <c r="O40" s="92">
        <v>7.8172883995767233</v>
      </c>
      <c r="P40" s="92">
        <v>7.2818269460793239</v>
      </c>
      <c r="Q40" s="92">
        <v>6.5484598765730109</v>
      </c>
      <c r="R40" s="92">
        <v>6.3049599056487953</v>
      </c>
      <c r="S40" s="92">
        <v>5.7990456661337406</v>
      </c>
      <c r="T40" s="92">
        <v>5.2023215516598142</v>
      </c>
      <c r="U40" s="92">
        <v>4.6886291248127003</v>
      </c>
      <c r="V40" s="92">
        <v>4.4718886050119293</v>
      </c>
      <c r="W40" s="92">
        <v>4.9241432362585078</v>
      </c>
      <c r="X40" s="92">
        <v>4.492590123399502</v>
      </c>
      <c r="Y40" s="92">
        <v>4.4265334237669185</v>
      </c>
      <c r="Z40" s="92">
        <v>4.1271510280696324</v>
      </c>
      <c r="AA40" s="92">
        <v>4.0175073092585203</v>
      </c>
      <c r="AB40" s="92">
        <v>4.0754268235742543</v>
      </c>
      <c r="AC40" s="92">
        <v>4.200099260065941</v>
      </c>
      <c r="AD40" s="92">
        <v>4.255498752801163</v>
      </c>
      <c r="AE40" s="92">
        <v>4.2164002057203991</v>
      </c>
      <c r="AF40" s="92">
        <v>3.8601355033424793</v>
      </c>
      <c r="AG40" s="92">
        <v>3.9067491088836244</v>
      </c>
      <c r="AH40" s="92">
        <v>4.0441226041969305</v>
      </c>
      <c r="AI40" s="338">
        <v>3.4061898953590068</v>
      </c>
      <c r="AJ40" s="338">
        <f t="shared" ref="AJ40:AJ47" si="10">AI40+(AK40-AI40)/2</f>
        <v>3.3212756852285068</v>
      </c>
      <c r="AK40" s="338">
        <v>3.2363614750980068</v>
      </c>
      <c r="AL40" s="338">
        <f t="shared" ref="AL40:AL47" si="11">AK40+(AN40-AK40)/3</f>
        <v>3.0660358740835281</v>
      </c>
      <c r="AM40" s="338">
        <f t="shared" ref="AM40:AM47" si="12">AK40+(AN40-AK40)*2/3</f>
        <v>2.8957102730690494</v>
      </c>
      <c r="AN40" s="338">
        <v>2.7253846720545707</v>
      </c>
      <c r="AO40" s="338">
        <f t="shared" ref="AO40:AO47" si="13">AN40+(AP40-AN40)/2</f>
        <v>2.5585854746458994</v>
      </c>
      <c r="AP40" s="338">
        <v>2.391786277237228</v>
      </c>
    </row>
    <row r="41" spans="1:42" ht="48">
      <c r="A41" s="100" t="s">
        <v>121</v>
      </c>
      <c r="B41" s="92">
        <v>4.5837062547676481</v>
      </c>
      <c r="C41" s="92">
        <v>5.3539148851932437</v>
      </c>
      <c r="D41" s="92">
        <v>4.3114619057282022</v>
      </c>
      <c r="E41" s="92">
        <v>4.9299760131444916</v>
      </c>
      <c r="F41" s="92">
        <v>4.4231761741813918</v>
      </c>
      <c r="G41" s="92">
        <v>4.8469991622033648</v>
      </c>
      <c r="H41" s="92">
        <v>5.2681977943646894</v>
      </c>
      <c r="I41" s="92">
        <v>4.6766567759866344</v>
      </c>
      <c r="J41" s="92">
        <v>4.0205975991125529</v>
      </c>
      <c r="K41" s="92">
        <v>4.1838757920387843</v>
      </c>
      <c r="L41" s="92">
        <v>3.7882502529773623</v>
      </c>
      <c r="M41" s="92">
        <v>3.9972390287546968</v>
      </c>
      <c r="N41" s="92">
        <v>3.321715619089304</v>
      </c>
      <c r="O41" s="92">
        <v>3.5939428764581716</v>
      </c>
      <c r="P41" s="92">
        <v>5.9133941647336945</v>
      </c>
      <c r="Q41" s="92">
        <v>4.0552633326793908</v>
      </c>
      <c r="R41" s="92">
        <v>3.5947525675742757</v>
      </c>
      <c r="S41" s="92">
        <v>3.0755319945581241</v>
      </c>
      <c r="T41" s="92">
        <v>3.1718459672999177</v>
      </c>
      <c r="U41" s="92">
        <v>2.741356481707331</v>
      </c>
      <c r="V41" s="92">
        <v>3.3445867839946599</v>
      </c>
      <c r="W41" s="92">
        <v>2.5023086377712467</v>
      </c>
      <c r="X41" s="92">
        <v>2.3474378988377933</v>
      </c>
      <c r="Y41" s="92">
        <v>3.1419442029725424</v>
      </c>
      <c r="Z41" s="92">
        <v>2.687449569735886</v>
      </c>
      <c r="AA41" s="92">
        <v>2.6803416741402932</v>
      </c>
      <c r="AB41" s="92">
        <v>2.7318542099474188</v>
      </c>
      <c r="AC41" s="92">
        <v>2.7694992483585099</v>
      </c>
      <c r="AD41" s="92">
        <v>2.6053174646950312</v>
      </c>
      <c r="AE41" s="92">
        <v>2.8136777166235158</v>
      </c>
      <c r="AF41" s="92">
        <v>2.9409993953341829</v>
      </c>
      <c r="AG41" s="92">
        <v>3.1153388588049138</v>
      </c>
      <c r="AH41" s="92">
        <v>2.8858005479217015</v>
      </c>
      <c r="AI41" s="338">
        <v>3.0646612587579871</v>
      </c>
      <c r="AJ41" s="338">
        <f t="shared" si="10"/>
        <v>3.0380345975841792</v>
      </c>
      <c r="AK41" s="338">
        <v>3.0114079364103707</v>
      </c>
      <c r="AL41" s="338">
        <f t="shared" si="11"/>
        <v>2.9524473488061611</v>
      </c>
      <c r="AM41" s="338">
        <f t="shared" si="12"/>
        <v>2.8934867612019515</v>
      </c>
      <c r="AN41" s="338">
        <v>2.8345261735977418</v>
      </c>
      <c r="AO41" s="338">
        <f t="shared" si="13"/>
        <v>2.7734231894444745</v>
      </c>
      <c r="AP41" s="338">
        <v>2.7123202052912068</v>
      </c>
    </row>
    <row r="42" spans="1:42" ht="24">
      <c r="A42" s="100" t="s">
        <v>328</v>
      </c>
      <c r="B42" s="92">
        <v>58.600051779008083</v>
      </c>
      <c r="C42" s="92">
        <v>62.648540942909229</v>
      </c>
      <c r="D42" s="92">
        <v>60.790097523921922</v>
      </c>
      <c r="E42" s="92">
        <v>62.882543303239871</v>
      </c>
      <c r="F42" s="92">
        <v>64.707955152421107</v>
      </c>
      <c r="G42" s="92">
        <v>66.053446200053401</v>
      </c>
      <c r="H42" s="92">
        <v>63.800524880452016</v>
      </c>
      <c r="I42" s="92">
        <v>64.987344517489106</v>
      </c>
      <c r="J42" s="92">
        <v>64.294318089629101</v>
      </c>
      <c r="K42" s="92">
        <v>65.52896820833584</v>
      </c>
      <c r="L42" s="92">
        <v>64.254509337339272</v>
      </c>
      <c r="M42" s="92">
        <v>67.877864494553819</v>
      </c>
      <c r="N42" s="92">
        <v>65.934760331964384</v>
      </c>
      <c r="O42" s="92">
        <v>65.329364519781549</v>
      </c>
      <c r="P42" s="92">
        <v>44.357117960163428</v>
      </c>
      <c r="Q42" s="92">
        <v>53.031485152702345</v>
      </c>
      <c r="R42" s="92">
        <v>53.14668591535554</v>
      </c>
      <c r="S42" s="92">
        <v>58.1760157881737</v>
      </c>
      <c r="T42" s="92">
        <v>47.800622989124882</v>
      </c>
      <c r="U42" s="92">
        <v>53.774062507333184</v>
      </c>
      <c r="V42" s="92">
        <v>48.356202936646838</v>
      </c>
      <c r="W42" s="92">
        <v>52.991672404647751</v>
      </c>
      <c r="X42" s="92">
        <v>49.567245309243127</v>
      </c>
      <c r="Y42" s="92">
        <v>46.760201026554228</v>
      </c>
      <c r="Z42" s="92">
        <v>43.500617648954218</v>
      </c>
      <c r="AA42" s="92">
        <v>45.315790494749876</v>
      </c>
      <c r="AB42" s="92">
        <v>47.084334750857487</v>
      </c>
      <c r="AC42" s="92">
        <v>48.765186400866966</v>
      </c>
      <c r="AD42" s="92">
        <v>53.181122682418525</v>
      </c>
      <c r="AE42" s="92">
        <v>54.7087134066727</v>
      </c>
      <c r="AF42" s="92">
        <v>50.114751663251937</v>
      </c>
      <c r="AG42" s="92">
        <v>43.392086878265701</v>
      </c>
      <c r="AH42" s="92">
        <v>43.302896520728659</v>
      </c>
      <c r="AI42" s="338">
        <v>54.725323542898259</v>
      </c>
      <c r="AJ42" s="338">
        <f t="shared" si="10"/>
        <v>54.362908174138461</v>
      </c>
      <c r="AK42" s="338">
        <v>54.000492805378663</v>
      </c>
      <c r="AL42" s="338">
        <f t="shared" si="11"/>
        <v>53.602290112568063</v>
      </c>
      <c r="AM42" s="338">
        <f t="shared" si="12"/>
        <v>53.204087419757471</v>
      </c>
      <c r="AN42" s="338">
        <v>52.805884726946871</v>
      </c>
      <c r="AO42" s="338">
        <f t="shared" si="13"/>
        <v>52.408321365514873</v>
      </c>
      <c r="AP42" s="338">
        <v>52.010758004082874</v>
      </c>
    </row>
    <row r="43" spans="1:42" ht="36">
      <c r="A43" s="100" t="s">
        <v>330</v>
      </c>
      <c r="B43" s="92">
        <v>167.00958432856507</v>
      </c>
      <c r="C43" s="92">
        <v>158.25524638948278</v>
      </c>
      <c r="D43" s="92">
        <v>150.01671832373688</v>
      </c>
      <c r="E43" s="92">
        <v>140.76245021563687</v>
      </c>
      <c r="F43" s="92">
        <v>154.11316705962872</v>
      </c>
      <c r="G43" s="92">
        <v>146.19274583966083</v>
      </c>
      <c r="H43" s="92">
        <v>135.42503791908646</v>
      </c>
      <c r="I43" s="92">
        <v>150.76301966795944</v>
      </c>
      <c r="J43" s="92">
        <v>154.24718600173719</v>
      </c>
      <c r="K43" s="92">
        <v>150.55083221050182</v>
      </c>
      <c r="L43" s="92">
        <v>152.65925818417276</v>
      </c>
      <c r="M43" s="92">
        <v>134.05520170787446</v>
      </c>
      <c r="N43" s="92">
        <v>147.58230784864668</v>
      </c>
      <c r="O43" s="92">
        <v>122.19738559418259</v>
      </c>
      <c r="P43" s="92">
        <v>167.46271327687887</v>
      </c>
      <c r="Q43" s="92">
        <v>125.88580569719366</v>
      </c>
      <c r="R43" s="92">
        <v>80.875176480851991</v>
      </c>
      <c r="S43" s="92">
        <v>136.23382099047117</v>
      </c>
      <c r="T43" s="92">
        <v>96.094798006848137</v>
      </c>
      <c r="U43" s="92">
        <v>43.456538702787924</v>
      </c>
      <c r="V43" s="92">
        <v>78.970707663694142</v>
      </c>
      <c r="W43" s="92">
        <v>82.90481135145491</v>
      </c>
      <c r="X43" s="92">
        <v>65.134734915299546</v>
      </c>
      <c r="Y43" s="92">
        <v>50.865442403572949</v>
      </c>
      <c r="Z43" s="92">
        <v>45.964899020176254</v>
      </c>
      <c r="AA43" s="92">
        <v>42.337660972305791</v>
      </c>
      <c r="AB43" s="92">
        <v>47.118430609835308</v>
      </c>
      <c r="AC43" s="92">
        <v>40.304513837948065</v>
      </c>
      <c r="AD43" s="92">
        <v>36.85260886939389</v>
      </c>
      <c r="AE43" s="92">
        <v>34.012305504289188</v>
      </c>
      <c r="AF43" s="92">
        <v>28.702562576252355</v>
      </c>
      <c r="AG43" s="92">
        <v>38.283188680623752</v>
      </c>
      <c r="AH43" s="92">
        <v>33.472034590386457</v>
      </c>
      <c r="AI43" s="338">
        <v>31.785352605379479</v>
      </c>
      <c r="AJ43" s="338">
        <f t="shared" si="10"/>
        <v>31.477499607664896</v>
      </c>
      <c r="AK43" s="338">
        <v>31.169646609950316</v>
      </c>
      <c r="AL43" s="338">
        <f t="shared" si="11"/>
        <v>29.126094095937088</v>
      </c>
      <c r="AM43" s="338">
        <f t="shared" si="12"/>
        <v>27.082541581923856</v>
      </c>
      <c r="AN43" s="338">
        <v>25.038989067910627</v>
      </c>
      <c r="AO43" s="338">
        <f t="shared" si="13"/>
        <v>23.001023996602612</v>
      </c>
      <c r="AP43" s="338">
        <v>20.963058925294597</v>
      </c>
    </row>
    <row r="44" spans="1:42" ht="36">
      <c r="A44" s="100" t="s">
        <v>41</v>
      </c>
      <c r="B44" s="92">
        <v>8.4316288106810369</v>
      </c>
      <c r="C44" s="92">
        <v>11.199133068503565</v>
      </c>
      <c r="D44" s="92">
        <v>10.007390963770709</v>
      </c>
      <c r="E44" s="92">
        <v>7.210317296788892</v>
      </c>
      <c r="F44" s="92">
        <v>7.0420211769439351</v>
      </c>
      <c r="G44" s="92">
        <v>7.4764141630952725</v>
      </c>
      <c r="H44" s="92">
        <v>7.6773290044412104</v>
      </c>
      <c r="I44" s="92">
        <v>7.3095762142852942</v>
      </c>
      <c r="J44" s="92">
        <v>7.0715858532346223</v>
      </c>
      <c r="K44" s="92">
        <v>7.1282718118792383</v>
      </c>
      <c r="L44" s="92">
        <v>7.2851025109701446</v>
      </c>
      <c r="M44" s="92">
        <v>6.9169301936250136</v>
      </c>
      <c r="N44" s="92">
        <v>6.8475790412507118</v>
      </c>
      <c r="O44" s="92">
        <v>6.5124376826083097</v>
      </c>
      <c r="P44" s="92">
        <v>6.3307624450568243</v>
      </c>
      <c r="Q44" s="92">
        <v>6.9883440749256476</v>
      </c>
      <c r="R44" s="92">
        <v>7.6539017064887824</v>
      </c>
      <c r="S44" s="92">
        <v>6.9283355197495728</v>
      </c>
      <c r="T44" s="92">
        <v>7.537544270676988</v>
      </c>
      <c r="U44" s="92">
        <v>5.495326398482975</v>
      </c>
      <c r="V44" s="92">
        <v>7.2846703982041223</v>
      </c>
      <c r="W44" s="92">
        <v>7.7877904170633698</v>
      </c>
      <c r="X44" s="92">
        <v>6.8635410917309851</v>
      </c>
      <c r="Y44" s="92">
        <v>6.8314410309343687</v>
      </c>
      <c r="Z44" s="92">
        <v>7.005617595856128</v>
      </c>
      <c r="AA44" s="92">
        <v>7.1616143265681931</v>
      </c>
      <c r="AB44" s="92">
        <v>8.3920826024774229</v>
      </c>
      <c r="AC44" s="92">
        <v>6.8846432291853121</v>
      </c>
      <c r="AD44" s="92">
        <v>8.0768176998561589</v>
      </c>
      <c r="AE44" s="92">
        <v>7.2765321608077702</v>
      </c>
      <c r="AF44" s="92">
        <v>4.5066510048290223</v>
      </c>
      <c r="AG44" s="92">
        <v>5.4956161807750137</v>
      </c>
      <c r="AH44" s="92">
        <v>5.4568928260633358</v>
      </c>
      <c r="AI44" s="338">
        <v>4.6626505615605547</v>
      </c>
      <c r="AJ44" s="338">
        <f t="shared" si="10"/>
        <v>4.7269380422870011</v>
      </c>
      <c r="AK44" s="338">
        <v>4.7912255230134484</v>
      </c>
      <c r="AL44" s="338">
        <f t="shared" si="11"/>
        <v>4.7884738297733316</v>
      </c>
      <c r="AM44" s="338">
        <f t="shared" si="12"/>
        <v>4.7857221365332148</v>
      </c>
      <c r="AN44" s="338">
        <v>4.782970443293098</v>
      </c>
      <c r="AO44" s="338">
        <f t="shared" si="13"/>
        <v>4.7801781972849291</v>
      </c>
      <c r="AP44" s="338">
        <v>4.7773859512767602</v>
      </c>
    </row>
    <row r="45" spans="1:42" ht="48">
      <c r="A45" s="100" t="s">
        <v>43</v>
      </c>
      <c r="B45" s="92">
        <v>25.966664033020447</v>
      </c>
      <c r="C45" s="92">
        <v>32.443813161721195</v>
      </c>
      <c r="D45" s="92">
        <v>22.517099126905851</v>
      </c>
      <c r="E45" s="92">
        <v>18.694528825878869</v>
      </c>
      <c r="F45" s="92">
        <v>20.961794083632483</v>
      </c>
      <c r="G45" s="92">
        <v>19.405322897054575</v>
      </c>
      <c r="H45" s="92">
        <v>18.352319815949841</v>
      </c>
      <c r="I45" s="92">
        <v>16.739685796711207</v>
      </c>
      <c r="J45" s="92">
        <v>19.119503949185738</v>
      </c>
      <c r="K45" s="92">
        <v>19.840519319927946</v>
      </c>
      <c r="L45" s="92">
        <v>18.96343961874749</v>
      </c>
      <c r="M45" s="92">
        <v>22.556597857435307</v>
      </c>
      <c r="N45" s="92">
        <v>21.734249048985522</v>
      </c>
      <c r="O45" s="92">
        <v>21.364019210597636</v>
      </c>
      <c r="P45" s="92">
        <v>21.574261449985542</v>
      </c>
      <c r="Q45" s="92">
        <v>32.697177890691933</v>
      </c>
      <c r="R45" s="92">
        <v>33.924268716319027</v>
      </c>
      <c r="S45" s="92">
        <v>35.693416368990526</v>
      </c>
      <c r="T45" s="92">
        <v>41.832998368356357</v>
      </c>
      <c r="U45" s="92">
        <v>35.748761385922364</v>
      </c>
      <c r="V45" s="92">
        <v>35.851692843283359</v>
      </c>
      <c r="W45" s="92">
        <v>32.316678146870714</v>
      </c>
      <c r="X45" s="92">
        <v>32.173821117912937</v>
      </c>
      <c r="Y45" s="92">
        <v>31.710594645492215</v>
      </c>
      <c r="Z45" s="92">
        <v>32.846053887456904</v>
      </c>
      <c r="AA45" s="92">
        <v>31.850458356418496</v>
      </c>
      <c r="AB45" s="92">
        <v>32.363574723204515</v>
      </c>
      <c r="AC45" s="92">
        <v>29.974114395125945</v>
      </c>
      <c r="AD45" s="92">
        <v>31.176038672709787</v>
      </c>
      <c r="AE45" s="92">
        <v>31.01513178666578</v>
      </c>
      <c r="AF45" s="92">
        <v>29.560543063490019</v>
      </c>
      <c r="AG45" s="92">
        <v>29.408041769773924</v>
      </c>
      <c r="AH45" s="92">
        <v>28.192002615604942</v>
      </c>
      <c r="AI45" s="338">
        <v>32.422925252007573</v>
      </c>
      <c r="AJ45" s="338">
        <f t="shared" si="10"/>
        <v>31.633692994752142</v>
      </c>
      <c r="AK45" s="338">
        <v>30.844460737496711</v>
      </c>
      <c r="AL45" s="338">
        <f t="shared" si="11"/>
        <v>29.900969305630415</v>
      </c>
      <c r="AM45" s="338">
        <f t="shared" si="12"/>
        <v>28.957477873764123</v>
      </c>
      <c r="AN45" s="338">
        <v>28.013986441897828</v>
      </c>
      <c r="AO45" s="338">
        <f t="shared" si="13"/>
        <v>27.087924557538884</v>
      </c>
      <c r="AP45" s="338">
        <v>26.16186267317994</v>
      </c>
    </row>
    <row r="46" spans="1:42">
      <c r="A46" s="100" t="s">
        <v>46</v>
      </c>
      <c r="B46" s="92">
        <v>37.341993826532786</v>
      </c>
      <c r="C46" s="92">
        <v>39.770077063908879</v>
      </c>
      <c r="D46" s="92">
        <v>39.405448377474286</v>
      </c>
      <c r="E46" s="92">
        <v>33.72652878312978</v>
      </c>
      <c r="F46" s="92">
        <v>34.648423586925908</v>
      </c>
      <c r="G46" s="92">
        <v>34.744661040350898</v>
      </c>
      <c r="H46" s="92">
        <v>36.001778995243612</v>
      </c>
      <c r="I46" s="92">
        <v>36.689591810182165</v>
      </c>
      <c r="J46" s="92">
        <v>36.738492281910922</v>
      </c>
      <c r="K46" s="92">
        <v>36.519755488543048</v>
      </c>
      <c r="L46" s="92">
        <v>35.780393814337444</v>
      </c>
      <c r="M46" s="92">
        <v>37.806418616215268</v>
      </c>
      <c r="N46" s="92">
        <v>36.10346903456135</v>
      </c>
      <c r="O46" s="92">
        <v>39.257941738427377</v>
      </c>
      <c r="P46" s="92">
        <v>51.668430757001381</v>
      </c>
      <c r="Q46" s="92">
        <v>49.871571170605492</v>
      </c>
      <c r="R46" s="92">
        <v>48.011995911745451</v>
      </c>
      <c r="S46" s="92">
        <v>52.218137005996354</v>
      </c>
      <c r="T46" s="92">
        <v>51.804071261731487</v>
      </c>
      <c r="U46" s="92">
        <v>49.568175461150709</v>
      </c>
      <c r="V46" s="92">
        <v>63.437920763581495</v>
      </c>
      <c r="W46" s="92">
        <v>49.743028762920225</v>
      </c>
      <c r="X46" s="92">
        <v>52.572551965078233</v>
      </c>
      <c r="Y46" s="92">
        <v>53.560074706792392</v>
      </c>
      <c r="Z46" s="92">
        <v>56.138098854582012</v>
      </c>
      <c r="AA46" s="92">
        <v>55.148596598813583</v>
      </c>
      <c r="AB46" s="92">
        <v>54.032987450989921</v>
      </c>
      <c r="AC46" s="92">
        <v>54.892859027431975</v>
      </c>
      <c r="AD46" s="92">
        <v>56.498083276409886</v>
      </c>
      <c r="AE46" s="92">
        <v>58.43328003329453</v>
      </c>
      <c r="AF46" s="92">
        <v>60.240388835202687</v>
      </c>
      <c r="AG46" s="92">
        <v>58.497852845714839</v>
      </c>
      <c r="AH46" s="92">
        <v>58.621165900872704</v>
      </c>
      <c r="AI46" s="338">
        <v>66.911270495548493</v>
      </c>
      <c r="AJ46" s="338">
        <f t="shared" si="10"/>
        <v>66.592610086055288</v>
      </c>
      <c r="AK46" s="338">
        <v>66.273949676562097</v>
      </c>
      <c r="AL46" s="338">
        <f t="shared" si="11"/>
        <v>65.87789272267328</v>
      </c>
      <c r="AM46" s="338">
        <f t="shared" si="12"/>
        <v>65.481835768784464</v>
      </c>
      <c r="AN46" s="338">
        <v>65.085778814895647</v>
      </c>
      <c r="AO46" s="338">
        <f t="shared" si="13"/>
        <v>64.689110837035514</v>
      </c>
      <c r="AP46" s="338">
        <v>64.292442859175367</v>
      </c>
    </row>
    <row r="47" spans="1:42" ht="36">
      <c r="A47" s="100" t="s">
        <v>47</v>
      </c>
      <c r="B47" s="92">
        <v>9.522669470283482</v>
      </c>
      <c r="C47" s="92">
        <v>10.606429209154037</v>
      </c>
      <c r="D47" s="92">
        <v>7.8081081682087685</v>
      </c>
      <c r="E47" s="92">
        <v>19.326073893230486</v>
      </c>
      <c r="F47" s="92">
        <v>18.112677382843682</v>
      </c>
      <c r="G47" s="92">
        <v>19.878933438612624</v>
      </c>
      <c r="H47" s="92">
        <v>18.588522487676386</v>
      </c>
      <c r="I47" s="92">
        <v>21.887217178187107</v>
      </c>
      <c r="J47" s="92">
        <v>18.748430471251012</v>
      </c>
      <c r="K47" s="92">
        <v>16.851109985949869</v>
      </c>
      <c r="L47" s="92">
        <v>17.80744107400016</v>
      </c>
      <c r="M47" s="92">
        <v>15.359338148412808</v>
      </c>
      <c r="N47" s="92">
        <v>13.504966230760152</v>
      </c>
      <c r="O47" s="92">
        <v>9.754216657358791</v>
      </c>
      <c r="P47" s="92">
        <v>15.194432877322189</v>
      </c>
      <c r="Q47" s="92">
        <v>21.578447831523214</v>
      </c>
      <c r="R47" s="92">
        <v>8.52719125542753</v>
      </c>
      <c r="S47" s="92">
        <v>18.062062905245117</v>
      </c>
      <c r="T47" s="92">
        <v>21.625934267147102</v>
      </c>
      <c r="U47" s="92">
        <v>23.842341314376732</v>
      </c>
      <c r="V47" s="92">
        <v>25.085412323845311</v>
      </c>
      <c r="W47" s="92">
        <v>15.627998935883525</v>
      </c>
      <c r="X47" s="92">
        <v>15.85679802484513</v>
      </c>
      <c r="Y47" s="92">
        <v>19.039964569622061</v>
      </c>
      <c r="Z47" s="92">
        <v>13.723976668282566</v>
      </c>
      <c r="AA47" s="92">
        <v>17.335184056199843</v>
      </c>
      <c r="AB47" s="92">
        <v>21.52713852624009</v>
      </c>
      <c r="AC47" s="92">
        <v>22.520321711354395</v>
      </c>
      <c r="AD47" s="92">
        <v>26.903116991170798</v>
      </c>
      <c r="AE47" s="92">
        <v>23.311893682562708</v>
      </c>
      <c r="AF47" s="92">
        <v>22.513132131120191</v>
      </c>
      <c r="AG47" s="92">
        <v>25.045025065035361</v>
      </c>
      <c r="AH47" s="92">
        <v>25.415929777191089</v>
      </c>
      <c r="AI47" s="338">
        <v>29.187979079457492</v>
      </c>
      <c r="AJ47" s="338">
        <f t="shared" si="10"/>
        <v>28.871081164785526</v>
      </c>
      <c r="AK47" s="338">
        <v>28.55418325011356</v>
      </c>
      <c r="AL47" s="338">
        <f t="shared" si="11"/>
        <v>28.165803098715489</v>
      </c>
      <c r="AM47" s="338">
        <f t="shared" si="12"/>
        <v>27.777422947317415</v>
      </c>
      <c r="AN47" s="338">
        <v>27.389042795919345</v>
      </c>
      <c r="AO47" s="338">
        <f t="shared" si="13"/>
        <v>27.001507634757601</v>
      </c>
      <c r="AP47" s="338">
        <v>26.613972473595854</v>
      </c>
    </row>
    <row r="48" spans="1:42">
      <c r="A48" s="101" t="s">
        <v>417</v>
      </c>
      <c r="B48" s="102">
        <v>425.11610477850758</v>
      </c>
      <c r="C48" s="102">
        <v>450.1099181665017</v>
      </c>
      <c r="D48" s="102">
        <v>427.02104840705897</v>
      </c>
      <c r="E48" s="102">
        <v>410.58754570967915</v>
      </c>
      <c r="F48" s="102">
        <v>435.12797868567316</v>
      </c>
      <c r="G48" s="102">
        <v>433.95288281780381</v>
      </c>
      <c r="H48" s="102">
        <v>425.95623229705541</v>
      </c>
      <c r="I48" s="102">
        <v>450.78696512072997</v>
      </c>
      <c r="J48" s="102">
        <v>443.73087652044001</v>
      </c>
      <c r="K48" s="102">
        <v>441.33147494135358</v>
      </c>
      <c r="L48" s="102">
        <v>442.2242983575058</v>
      </c>
      <c r="M48" s="102">
        <v>438.88170409559586</v>
      </c>
      <c r="N48" s="102">
        <v>438.05327372384454</v>
      </c>
      <c r="O48" s="102">
        <v>426.4691490452463</v>
      </c>
      <c r="P48" s="102">
        <v>477.85158031854888</v>
      </c>
      <c r="Q48" s="102">
        <v>436.28198399669151</v>
      </c>
      <c r="R48" s="102">
        <v>370.9059044811047</v>
      </c>
      <c r="S48" s="102">
        <v>435.82968159973689</v>
      </c>
      <c r="T48" s="102">
        <v>381.57164228763065</v>
      </c>
      <c r="U48" s="102">
        <v>313.04865700096832</v>
      </c>
      <c r="V48" s="102">
        <v>379.36072374751842</v>
      </c>
      <c r="W48" s="102">
        <v>328.3224984231652</v>
      </c>
      <c r="X48" s="102">
        <v>298.74629008772064</v>
      </c>
      <c r="Y48" s="102">
        <v>289.38771780299112</v>
      </c>
      <c r="Z48" s="102">
        <v>288.78142784855351</v>
      </c>
      <c r="AA48" s="102">
        <v>283.13794963381685</v>
      </c>
      <c r="AB48" s="102">
        <v>292.04842500098886</v>
      </c>
      <c r="AC48" s="102">
        <v>280.07204931062086</v>
      </c>
      <c r="AD48" s="102">
        <v>281.94050673494689</v>
      </c>
      <c r="AE48" s="102">
        <v>276.33188782916358</v>
      </c>
      <c r="AF48" s="102">
        <v>262.00567114543446</v>
      </c>
      <c r="AG48" s="102">
        <v>269.76441346632691</v>
      </c>
      <c r="AH48" s="102">
        <v>260.53661718102001</v>
      </c>
      <c r="AI48" s="355">
        <v>289.49801971336251</v>
      </c>
      <c r="AJ48" s="356">
        <f>AJ39+AJ40+AJ41+AJ42+AJ43+AJ44+AJ45+AJ46+AJ47</f>
        <v>286.4211427819497</v>
      </c>
      <c r="AK48" s="356">
        <v>283.34426585053677</v>
      </c>
      <c r="AL48" s="356">
        <f>AL39+AL40+AL41+AL42+AL43+AL44+AL45+AL46+AL47</f>
        <v>277.9649649863718</v>
      </c>
      <c r="AM48" s="356">
        <f>AM39+AM40+AM41+AM42+AM43+AM44+AM45+AM46+AM47</f>
        <v>272.58566412220688</v>
      </c>
      <c r="AN48" s="356">
        <v>267.20636325804185</v>
      </c>
      <c r="AO48" s="356">
        <f>AO39+AO40+AO41+AO42+AO43+AO44+AO45+AO46+AO47</f>
        <v>261.85738904003119</v>
      </c>
      <c r="AP48" s="356">
        <v>256.50841482202048</v>
      </c>
    </row>
    <row r="49" spans="1:42" ht="15">
      <c r="A49" s="103"/>
      <c r="B49" s="96"/>
      <c r="C49" s="96"/>
      <c r="D49" s="96"/>
      <c r="E49" s="96"/>
      <c r="F49" s="96"/>
      <c r="G49" s="96"/>
      <c r="H49" s="96"/>
      <c r="I49" s="96"/>
      <c r="J49" s="96"/>
      <c r="K49" s="70"/>
      <c r="L49" s="70"/>
      <c r="M49" s="70"/>
      <c r="N49" s="70"/>
      <c r="O49" s="70"/>
      <c r="P49" s="70"/>
      <c r="Q49" s="70"/>
      <c r="R49" s="70"/>
      <c r="S49" s="70"/>
      <c r="T49" s="70"/>
      <c r="U49" s="70"/>
      <c r="V49" s="70"/>
      <c r="W49" s="70"/>
      <c r="X49" s="70"/>
      <c r="Y49" s="70"/>
      <c r="Z49" s="70"/>
      <c r="AA49" s="70"/>
      <c r="AB49" s="70"/>
      <c r="AC49" s="70"/>
      <c r="AD49" s="70"/>
      <c r="AE49" s="70"/>
      <c r="AF49" s="70"/>
      <c r="AG49" s="70"/>
      <c r="AH49" s="70"/>
    </row>
    <row r="50" spans="1:42">
      <c r="A50" s="104" t="s">
        <v>398</v>
      </c>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428" t="s">
        <v>393</v>
      </c>
      <c r="AJ50" s="428"/>
      <c r="AK50" s="428"/>
      <c r="AL50" s="428"/>
      <c r="AM50" s="428"/>
      <c r="AN50" s="428"/>
      <c r="AO50" s="428"/>
      <c r="AP50" s="428"/>
    </row>
    <row r="51" spans="1:42" ht="105.6">
      <c r="A51" s="75" t="s">
        <v>481</v>
      </c>
      <c r="B51" s="76">
        <v>1990</v>
      </c>
      <c r="C51" s="76">
        <v>1991</v>
      </c>
      <c r="D51" s="76">
        <v>1992</v>
      </c>
      <c r="E51" s="76">
        <v>1993</v>
      </c>
      <c r="F51" s="76">
        <v>1994</v>
      </c>
      <c r="G51" s="76">
        <v>1995</v>
      </c>
      <c r="H51" s="76">
        <v>1996</v>
      </c>
      <c r="I51" s="76">
        <v>1997</v>
      </c>
      <c r="J51" s="76">
        <v>1998</v>
      </c>
      <c r="K51" s="76">
        <v>1999</v>
      </c>
      <c r="L51" s="76">
        <v>2000</v>
      </c>
      <c r="M51" s="76">
        <v>2001</v>
      </c>
      <c r="N51" s="76">
        <v>2002</v>
      </c>
      <c r="O51" s="76">
        <v>2003</v>
      </c>
      <c r="P51" s="76">
        <v>2004</v>
      </c>
      <c r="Q51" s="76">
        <v>2005</v>
      </c>
      <c r="R51" s="76">
        <v>2006</v>
      </c>
      <c r="S51" s="76">
        <v>2007</v>
      </c>
      <c r="T51" s="76">
        <v>2008</v>
      </c>
      <c r="U51" s="76">
        <v>2009</v>
      </c>
      <c r="V51" s="76">
        <v>2010</v>
      </c>
      <c r="W51" s="76">
        <v>2011</v>
      </c>
      <c r="X51" s="76">
        <v>2012</v>
      </c>
      <c r="Y51" s="76">
        <v>2013</v>
      </c>
      <c r="Z51" s="76">
        <v>2014</v>
      </c>
      <c r="AA51" s="76">
        <v>2015</v>
      </c>
      <c r="AB51" s="76">
        <v>2016</v>
      </c>
      <c r="AC51" s="76">
        <v>2017</v>
      </c>
      <c r="AD51" s="76">
        <v>2018</v>
      </c>
      <c r="AE51" s="76">
        <v>2019</v>
      </c>
      <c r="AF51" s="76">
        <v>2020</v>
      </c>
      <c r="AG51" s="77">
        <v>2021</v>
      </c>
      <c r="AH51" s="77" t="s">
        <v>395</v>
      </c>
      <c r="AI51" s="76">
        <v>2023</v>
      </c>
      <c r="AJ51" s="152">
        <v>2024</v>
      </c>
      <c r="AK51" s="76">
        <v>2025</v>
      </c>
      <c r="AL51" s="152">
        <v>2026</v>
      </c>
      <c r="AM51" s="152">
        <v>2027</v>
      </c>
      <c r="AN51" s="76">
        <v>2028</v>
      </c>
      <c r="AO51" s="152">
        <v>2029</v>
      </c>
      <c r="AP51" s="76">
        <v>2030</v>
      </c>
    </row>
    <row r="52" spans="1:42" ht="24">
      <c r="A52" s="100" t="s">
        <v>83</v>
      </c>
      <c r="B52" s="92">
        <v>13142.111806929284</v>
      </c>
      <c r="C52" s="92">
        <v>13840.001845181327</v>
      </c>
      <c r="D52" s="92">
        <v>14607.798727681526</v>
      </c>
      <c r="E52" s="92">
        <v>15395.827193170615</v>
      </c>
      <c r="F52" s="92">
        <v>15715.333853232001</v>
      </c>
      <c r="G52" s="92">
        <v>15973.514234100518</v>
      </c>
      <c r="H52" s="92">
        <v>16138.036179311737</v>
      </c>
      <c r="I52" s="92">
        <v>16352.047173647361</v>
      </c>
      <c r="J52" s="92">
        <v>16912.503555457941</v>
      </c>
      <c r="K52" s="92">
        <v>17209.150983400243</v>
      </c>
      <c r="L52" s="92">
        <v>17532.781321948652</v>
      </c>
      <c r="M52" s="92">
        <v>17864.052554734648</v>
      </c>
      <c r="N52" s="92">
        <v>18158.461227128275</v>
      </c>
      <c r="O52" s="92">
        <v>18300.820174364966</v>
      </c>
      <c r="P52" s="92">
        <v>18254.325133560349</v>
      </c>
      <c r="Q52" s="92">
        <v>18049.56027062771</v>
      </c>
      <c r="R52" s="92">
        <v>17958.056719344317</v>
      </c>
      <c r="S52" s="92">
        <v>18007.766408689014</v>
      </c>
      <c r="T52" s="92">
        <v>17973.850477865406</v>
      </c>
      <c r="U52" s="92">
        <v>17282.981897141024</v>
      </c>
      <c r="V52" s="92">
        <v>17217.903881598599</v>
      </c>
      <c r="W52" s="92">
        <v>16126.546899709367</v>
      </c>
      <c r="X52" s="92">
        <v>15702.621793435184</v>
      </c>
      <c r="Y52" s="92">
        <v>14108.628252526349</v>
      </c>
      <c r="Z52" s="92">
        <v>13162.868553977514</v>
      </c>
      <c r="AA52" s="92">
        <v>12342.006071686292</v>
      </c>
      <c r="AB52" s="92">
        <v>12375.15741754487</v>
      </c>
      <c r="AC52" s="92">
        <v>12476.08877455298</v>
      </c>
      <c r="AD52" s="92">
        <v>12208.78958592961</v>
      </c>
      <c r="AE52" s="92">
        <v>13108.752636109002</v>
      </c>
      <c r="AF52" s="92">
        <v>13083.344204414443</v>
      </c>
      <c r="AG52" s="92">
        <v>12254.9934869137</v>
      </c>
      <c r="AH52" s="92">
        <v>12254.9934869137</v>
      </c>
      <c r="AI52" s="338">
        <v>11513.502677907156</v>
      </c>
      <c r="AJ52" s="338">
        <f>AI52+(AK52-AI52)/2</f>
        <v>9910.4619619141486</v>
      </c>
      <c r="AK52" s="338">
        <v>8307.4212459211412</v>
      </c>
      <c r="AL52" s="338">
        <f>AK52+(AN52-AK52)/3</f>
        <v>7087.5354376076384</v>
      </c>
      <c r="AM52" s="338">
        <f>AK52+(AN52-AK52)*2/3</f>
        <v>5867.6496292941356</v>
      </c>
      <c r="AN52" s="338">
        <v>4647.7638209806337</v>
      </c>
      <c r="AO52" s="338">
        <f>AN52+(AP52-AN52)/2</f>
        <v>4364.4313318200348</v>
      </c>
      <c r="AP52" s="338">
        <v>4081.0988426594367</v>
      </c>
    </row>
    <row r="53" spans="1:42" ht="48">
      <c r="A53" s="100" t="s">
        <v>84</v>
      </c>
      <c r="B53" s="92">
        <v>0.26860179829178216</v>
      </c>
      <c r="C53" s="92">
        <v>0.27232797203177772</v>
      </c>
      <c r="D53" s="92">
        <v>0.28822989062998966</v>
      </c>
      <c r="E53" s="92">
        <v>0.28153723950425785</v>
      </c>
      <c r="F53" s="92">
        <v>0.32548778529806782</v>
      </c>
      <c r="G53" s="92">
        <v>0.32592450529443795</v>
      </c>
      <c r="H53" s="92">
        <v>0.32741480184294874</v>
      </c>
      <c r="I53" s="92">
        <v>0.29356723658136197</v>
      </c>
      <c r="J53" s="92">
        <v>0.3163493485144549</v>
      </c>
      <c r="K53" s="92">
        <v>0.34230088978702466</v>
      </c>
      <c r="L53" s="92">
        <v>0.3698377568703381</v>
      </c>
      <c r="M53" s="92">
        <v>0.39295169149351367</v>
      </c>
      <c r="N53" s="92">
        <v>0.44206193625446172</v>
      </c>
      <c r="O53" s="92">
        <v>0.44881350462236247</v>
      </c>
      <c r="P53" s="92">
        <v>0.45987493554383979</v>
      </c>
      <c r="Q53" s="92">
        <v>0.4614381648495739</v>
      </c>
      <c r="R53" s="92">
        <v>0.47576178783209477</v>
      </c>
      <c r="S53" s="92">
        <v>0.4858740188076261</v>
      </c>
      <c r="T53" s="92">
        <v>0.46582922643963581</v>
      </c>
      <c r="U53" s="92">
        <v>0.4504345064624028</v>
      </c>
      <c r="V53" s="92">
        <v>0.50782852618905938</v>
      </c>
      <c r="W53" s="92">
        <v>0.55116793377247764</v>
      </c>
      <c r="X53" s="92">
        <v>0.61886723862575299</v>
      </c>
      <c r="Y53" s="92">
        <v>0.58667609213419925</v>
      </c>
      <c r="Z53" s="92">
        <v>0.59288810118032564</v>
      </c>
      <c r="AA53" s="92">
        <v>0.61818854474495766</v>
      </c>
      <c r="AB53" s="92">
        <v>0.54110330583943556</v>
      </c>
      <c r="AC53" s="92">
        <v>0.51564021225874679</v>
      </c>
      <c r="AD53" s="92">
        <v>0.50291610363764327</v>
      </c>
      <c r="AE53" s="92">
        <v>0.53460566305004509</v>
      </c>
      <c r="AF53" s="92">
        <v>0.58405762710983622</v>
      </c>
      <c r="AG53" s="92">
        <v>0.56492881998131894</v>
      </c>
      <c r="AH53" s="92">
        <v>0.55404650663503896</v>
      </c>
      <c r="AI53" s="338">
        <v>0.64613528442662771</v>
      </c>
      <c r="AJ53" s="338">
        <f t="shared" ref="AJ53:AJ55" si="14">AI53+(AK53-AI53)/2</f>
        <v>0.65248585224125721</v>
      </c>
      <c r="AK53" s="338">
        <v>0.65883642005588672</v>
      </c>
      <c r="AL53" s="338">
        <f t="shared" ref="AL53:AL55" si="15">AK53+(AN53-AK53)/3</f>
        <v>0.66387477319854649</v>
      </c>
      <c r="AM53" s="338">
        <f t="shared" ref="AM53:AM55" si="16">AK53+(AN53-AK53)*2/3</f>
        <v>0.66891312634120625</v>
      </c>
      <c r="AN53" s="338">
        <v>0.67395147948386602</v>
      </c>
      <c r="AO53" s="338">
        <f t="shared" ref="AO53:AO55" si="17">AN53+(AP53-AN53)/2</f>
        <v>0.67993951387090878</v>
      </c>
      <c r="AP53" s="338">
        <v>0.68592754825795166</v>
      </c>
    </row>
    <row r="54" spans="1:42" ht="36">
      <c r="A54" s="100" t="s">
        <v>85</v>
      </c>
      <c r="B54" s="92">
        <v>109.14031124145127</v>
      </c>
      <c r="C54" s="92">
        <v>112.17401385750279</v>
      </c>
      <c r="D54" s="92">
        <v>115.27706244631406</v>
      </c>
      <c r="E54" s="92">
        <v>118.45121209933487</v>
      </c>
      <c r="F54" s="92">
        <v>134.6987151802148</v>
      </c>
      <c r="G54" s="92">
        <v>151.19792364071282</v>
      </c>
      <c r="H54" s="92">
        <v>172.0467979117125</v>
      </c>
      <c r="I54" s="92">
        <v>181.02561955867736</v>
      </c>
      <c r="J54" s="92">
        <v>205.41412531928461</v>
      </c>
      <c r="K54" s="92">
        <v>279.02500341509722</v>
      </c>
      <c r="L54" s="92">
        <v>312.23506180537748</v>
      </c>
      <c r="M54" s="92">
        <v>328.52639045655343</v>
      </c>
      <c r="N54" s="92">
        <v>345.09709246937859</v>
      </c>
      <c r="O54" s="92">
        <v>372.47929085075094</v>
      </c>
      <c r="P54" s="92">
        <v>400.68986728836848</v>
      </c>
      <c r="Q54" s="92">
        <v>424.22198114191508</v>
      </c>
      <c r="R54" s="92">
        <v>445.8201494919229</v>
      </c>
      <c r="S54" s="92">
        <v>457.87593174395658</v>
      </c>
      <c r="T54" s="92">
        <v>469.18271280237252</v>
      </c>
      <c r="U54" s="92">
        <v>487.31160547971308</v>
      </c>
      <c r="V54" s="92">
        <v>501.49636636161637</v>
      </c>
      <c r="W54" s="92">
        <v>605.22795291366231</v>
      </c>
      <c r="X54" s="92">
        <v>709.17710075092657</v>
      </c>
      <c r="Y54" s="92">
        <v>742.15518485381597</v>
      </c>
      <c r="Z54" s="92">
        <v>775.30687051593225</v>
      </c>
      <c r="AA54" s="92">
        <v>789.24143098819854</v>
      </c>
      <c r="AB54" s="92">
        <v>803.06136137756084</v>
      </c>
      <c r="AC54" s="92">
        <v>833.26620191783388</v>
      </c>
      <c r="AD54" s="92">
        <v>863.49988215917949</v>
      </c>
      <c r="AE54" s="92">
        <v>817.27132393633883</v>
      </c>
      <c r="AF54" s="92">
        <v>772.06969694807663</v>
      </c>
      <c r="AG54" s="92">
        <v>832.53675544108262</v>
      </c>
      <c r="AH54" s="92">
        <v>832.53675544108262</v>
      </c>
      <c r="AI54" s="338">
        <v>790.29711169750499</v>
      </c>
      <c r="AJ54" s="338">
        <f t="shared" si="14"/>
        <v>804.70512000542226</v>
      </c>
      <c r="AK54" s="338">
        <v>819.11312831333942</v>
      </c>
      <c r="AL54" s="338">
        <f t="shared" si="15"/>
        <v>831.33442344307161</v>
      </c>
      <c r="AM54" s="338">
        <f t="shared" si="16"/>
        <v>843.55571857280381</v>
      </c>
      <c r="AN54" s="338">
        <v>855.77701370253601</v>
      </c>
      <c r="AO54" s="338">
        <f t="shared" si="17"/>
        <v>860.96678669056894</v>
      </c>
      <c r="AP54" s="338">
        <v>866.15655967860187</v>
      </c>
    </row>
    <row r="55" spans="1:42" ht="24">
      <c r="A55" s="100" t="s">
        <v>86</v>
      </c>
      <c r="B55" s="92">
        <v>70.417327307909616</v>
      </c>
      <c r="C55" s="92">
        <v>75.710750652898753</v>
      </c>
      <c r="D55" s="92">
        <v>81.391395678786182</v>
      </c>
      <c r="E55" s="92">
        <v>87.458210075290125</v>
      </c>
      <c r="F55" s="92">
        <v>93.266594086820163</v>
      </c>
      <c r="G55" s="92">
        <v>98.904835587496336</v>
      </c>
      <c r="H55" s="92">
        <v>104.53590562949526</v>
      </c>
      <c r="I55" s="92">
        <v>109.62114034338822</v>
      </c>
      <c r="J55" s="92">
        <v>115.47696113040338</v>
      </c>
      <c r="K55" s="92">
        <v>117.5297124870409</v>
      </c>
      <c r="L55" s="92">
        <v>121.87383944767393</v>
      </c>
      <c r="M55" s="92">
        <v>120.91814176764278</v>
      </c>
      <c r="N55" s="92">
        <v>124.54290251038003</v>
      </c>
      <c r="O55" s="92">
        <v>124.42086101811275</v>
      </c>
      <c r="P55" s="92">
        <v>124.08591405178393</v>
      </c>
      <c r="Q55" s="92">
        <v>125.45542118804536</v>
      </c>
      <c r="R55" s="92">
        <v>126.31006923365881</v>
      </c>
      <c r="S55" s="92">
        <v>126.42149167658745</v>
      </c>
      <c r="T55" s="92">
        <v>126.00785214949106</v>
      </c>
      <c r="U55" s="92">
        <v>127.01184576330509</v>
      </c>
      <c r="V55" s="92">
        <v>134.59617061859456</v>
      </c>
      <c r="W55" s="92">
        <v>132.6941686429592</v>
      </c>
      <c r="X55" s="92">
        <v>134.98134908416444</v>
      </c>
      <c r="Y55" s="92">
        <v>127.70610896931295</v>
      </c>
      <c r="Z55" s="92">
        <v>133.56834768152595</v>
      </c>
      <c r="AA55" s="92">
        <v>145.0094666925238</v>
      </c>
      <c r="AB55" s="92">
        <v>135.97940356416765</v>
      </c>
      <c r="AC55" s="92">
        <v>140.55904408935191</v>
      </c>
      <c r="AD55" s="92">
        <v>151.23689421161507</v>
      </c>
      <c r="AE55" s="92">
        <v>140.56548354186901</v>
      </c>
      <c r="AF55" s="92">
        <v>137.21552192950426</v>
      </c>
      <c r="AG55" s="92">
        <v>138.12152454187841</v>
      </c>
      <c r="AH55" s="92">
        <v>138.12152454187841</v>
      </c>
      <c r="AI55" s="338">
        <v>138.19684594691608</v>
      </c>
      <c r="AJ55" s="338">
        <f t="shared" si="14"/>
        <v>138.51042170405648</v>
      </c>
      <c r="AK55" s="338">
        <v>138.82399746119688</v>
      </c>
      <c r="AL55" s="338">
        <f t="shared" si="15"/>
        <v>139.11425935904202</v>
      </c>
      <c r="AM55" s="338">
        <f t="shared" si="16"/>
        <v>139.40452125688714</v>
      </c>
      <c r="AN55" s="338">
        <v>139.69478315473228</v>
      </c>
      <c r="AO55" s="338">
        <f t="shared" si="17"/>
        <v>140.20602401453817</v>
      </c>
      <c r="AP55" s="338">
        <v>140.71726487434404</v>
      </c>
    </row>
    <row r="56" spans="1:42">
      <c r="A56" s="106" t="s">
        <v>418</v>
      </c>
      <c r="B56" s="107">
        <v>13321.938047276939</v>
      </c>
      <c r="C56" s="107">
        <v>14028.15893766376</v>
      </c>
      <c r="D56" s="107">
        <v>14804.755415697255</v>
      </c>
      <c r="E56" s="107">
        <v>15602.018152584744</v>
      </c>
      <c r="F56" s="107">
        <v>15943.624650284335</v>
      </c>
      <c r="G56" s="107">
        <v>16223.942917834022</v>
      </c>
      <c r="H56" s="107">
        <v>16414.946297654787</v>
      </c>
      <c r="I56" s="107">
        <v>16642.98750078601</v>
      </c>
      <c r="J56" s="107">
        <v>17233.710991256143</v>
      </c>
      <c r="K56" s="107">
        <v>17606.048000192168</v>
      </c>
      <c r="L56" s="107">
        <v>17967.260060958575</v>
      </c>
      <c r="M56" s="107">
        <v>18313.890038650341</v>
      </c>
      <c r="N56" s="107">
        <v>18628.543284044288</v>
      </c>
      <c r="O56" s="107">
        <v>18798.169139738453</v>
      </c>
      <c r="P56" s="107">
        <v>18779.560789836043</v>
      </c>
      <c r="Q56" s="107">
        <v>18599.699111122522</v>
      </c>
      <c r="R56" s="107">
        <v>18530.66269985773</v>
      </c>
      <c r="S56" s="107">
        <v>18592.549706128368</v>
      </c>
      <c r="T56" s="107">
        <v>18569.506872043708</v>
      </c>
      <c r="U56" s="107">
        <v>17897.755782890505</v>
      </c>
      <c r="V56" s="107">
        <v>17854.504247105</v>
      </c>
      <c r="W56" s="107">
        <v>16865.02018919976</v>
      </c>
      <c r="X56" s="107">
        <v>16547.399110508901</v>
      </c>
      <c r="Y56" s="107">
        <v>14979.076222441612</v>
      </c>
      <c r="Z56" s="107">
        <v>14072.336660276154</v>
      </c>
      <c r="AA56" s="107">
        <v>13276.87515791176</v>
      </c>
      <c r="AB56" s="107">
        <v>13314.739285792437</v>
      </c>
      <c r="AC56" s="107">
        <v>13450.429660772425</v>
      </c>
      <c r="AD56" s="107">
        <v>13224.029278404043</v>
      </c>
      <c r="AE56" s="107">
        <v>14067.124049250258</v>
      </c>
      <c r="AF56" s="107">
        <v>13993.213480919132</v>
      </c>
      <c r="AG56" s="107">
        <v>13226.216695716643</v>
      </c>
      <c r="AH56" s="107">
        <v>13226.205813403296</v>
      </c>
      <c r="AI56" s="357">
        <v>12442.642770836004</v>
      </c>
      <c r="AJ56" s="357">
        <f>SUM(AJ52:AJ55)</f>
        <v>10854.329989475869</v>
      </c>
      <c r="AK56" s="357">
        <v>9266.0172081157325</v>
      </c>
      <c r="AL56" s="357">
        <f t="shared" ref="AL56:AO56" si="18">SUM(AL52:AL55)</f>
        <v>8058.6479951829506</v>
      </c>
      <c r="AM56" s="357">
        <f t="shared" si="18"/>
        <v>6851.2787822501678</v>
      </c>
      <c r="AN56" s="357">
        <v>5643.9095693173867</v>
      </c>
      <c r="AO56" s="357">
        <f t="shared" si="18"/>
        <v>5366.2840820390129</v>
      </c>
      <c r="AP56" s="357">
        <v>5088.6585947606409</v>
      </c>
    </row>
    <row r="57" spans="1:42" ht="15">
      <c r="A57" s="95"/>
      <c r="B57" s="96"/>
      <c r="C57" s="96"/>
      <c r="D57" s="96"/>
      <c r="E57" s="96"/>
      <c r="F57" s="96"/>
      <c r="G57" s="96"/>
      <c r="H57" s="96"/>
      <c r="I57" s="96"/>
      <c r="J57" s="96"/>
      <c r="K57" s="70"/>
      <c r="L57" s="70"/>
      <c r="M57" s="70"/>
      <c r="N57" s="70"/>
      <c r="O57" s="70"/>
      <c r="P57" s="70"/>
      <c r="Q57" s="70"/>
      <c r="R57" s="70"/>
      <c r="S57" s="70"/>
      <c r="T57" s="70"/>
      <c r="U57" s="70"/>
      <c r="V57" s="70"/>
      <c r="W57" s="70"/>
      <c r="X57" s="70"/>
      <c r="Y57" s="70"/>
      <c r="Z57" s="70"/>
      <c r="AA57" s="70"/>
      <c r="AB57" s="70"/>
      <c r="AC57" s="70"/>
      <c r="AD57" s="70"/>
      <c r="AE57" s="70"/>
      <c r="AF57" s="70"/>
      <c r="AG57" s="70"/>
      <c r="AH57" s="70"/>
    </row>
    <row r="58" spans="1:42">
      <c r="A58" s="108" t="s">
        <v>399</v>
      </c>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429" t="s">
        <v>393</v>
      </c>
      <c r="AJ58" s="429"/>
      <c r="AK58" s="429"/>
      <c r="AL58" s="429"/>
      <c r="AM58" s="429"/>
      <c r="AN58" s="429"/>
      <c r="AO58" s="429"/>
      <c r="AP58" s="429"/>
    </row>
    <row r="59" spans="1:42" ht="105.6">
      <c r="A59" s="75" t="s">
        <v>481</v>
      </c>
      <c r="B59" s="76">
        <v>1990</v>
      </c>
      <c r="C59" s="76">
        <v>1991</v>
      </c>
      <c r="D59" s="76">
        <v>1992</v>
      </c>
      <c r="E59" s="76">
        <v>1993</v>
      </c>
      <c r="F59" s="76">
        <v>1994</v>
      </c>
      <c r="G59" s="76">
        <v>1995</v>
      </c>
      <c r="H59" s="76">
        <v>1996</v>
      </c>
      <c r="I59" s="76">
        <v>1997</v>
      </c>
      <c r="J59" s="76">
        <v>1998</v>
      </c>
      <c r="K59" s="76">
        <v>1999</v>
      </c>
      <c r="L59" s="76">
        <v>2000</v>
      </c>
      <c r="M59" s="76">
        <v>2001</v>
      </c>
      <c r="N59" s="76">
        <v>2002</v>
      </c>
      <c r="O59" s="76">
        <v>2003</v>
      </c>
      <c r="P59" s="76">
        <v>2004</v>
      </c>
      <c r="Q59" s="76">
        <v>2005</v>
      </c>
      <c r="R59" s="76">
        <v>2006</v>
      </c>
      <c r="S59" s="76">
        <v>2007</v>
      </c>
      <c r="T59" s="76">
        <v>2008</v>
      </c>
      <c r="U59" s="76">
        <v>2009</v>
      </c>
      <c r="V59" s="76">
        <v>2010</v>
      </c>
      <c r="W59" s="76">
        <v>2011</v>
      </c>
      <c r="X59" s="76">
        <v>2012</v>
      </c>
      <c r="Y59" s="76">
        <v>2013</v>
      </c>
      <c r="Z59" s="76">
        <v>2014</v>
      </c>
      <c r="AA59" s="76">
        <v>2015</v>
      </c>
      <c r="AB59" s="76">
        <v>2016</v>
      </c>
      <c r="AC59" s="76">
        <v>2017</v>
      </c>
      <c r="AD59" s="76">
        <v>2018</v>
      </c>
      <c r="AE59" s="76">
        <v>2019</v>
      </c>
      <c r="AF59" s="76">
        <v>2020</v>
      </c>
      <c r="AG59" s="77">
        <v>2021</v>
      </c>
      <c r="AH59" s="77" t="s">
        <v>395</v>
      </c>
      <c r="AI59" s="76">
        <v>2023</v>
      </c>
      <c r="AJ59" s="152">
        <v>2024</v>
      </c>
      <c r="AK59" s="76">
        <v>2025</v>
      </c>
      <c r="AL59" s="152">
        <v>2026</v>
      </c>
      <c r="AM59" s="152">
        <v>2027</v>
      </c>
      <c r="AN59" s="76">
        <v>2028</v>
      </c>
      <c r="AO59" s="152">
        <v>2029</v>
      </c>
      <c r="AP59" s="76">
        <v>2030</v>
      </c>
    </row>
    <row r="60" spans="1:42" ht="60">
      <c r="A60" s="91" t="s">
        <v>214</v>
      </c>
      <c r="B60" s="92">
        <v>5100.2218687920276</v>
      </c>
      <c r="C60" s="92">
        <v>6016.2582887521894</v>
      </c>
      <c r="D60" s="92">
        <v>5751.6406609850264</v>
      </c>
      <c r="E60" s="92">
        <v>5520.6760590624626</v>
      </c>
      <c r="F60" s="92">
        <v>4770.4489414245609</v>
      </c>
      <c r="G60" s="92">
        <v>4818.6939687087151</v>
      </c>
      <c r="H60" s="92">
        <v>5254.5496250120686</v>
      </c>
      <c r="I60" s="92">
        <v>4621.5631502583292</v>
      </c>
      <c r="J60" s="92">
        <v>4653.5316034938596</v>
      </c>
      <c r="K60" s="92">
        <v>4419.2434258865087</v>
      </c>
      <c r="L60" s="92">
        <v>4184.1185770032507</v>
      </c>
      <c r="M60" s="92">
        <v>4293.958006011123</v>
      </c>
      <c r="N60" s="92">
        <v>3974.2718465310477</v>
      </c>
      <c r="O60" s="92">
        <v>4262.0985719377113</v>
      </c>
      <c r="P60" s="92">
        <v>4284.966498729591</v>
      </c>
      <c r="Q60" s="92">
        <v>4137.53972125375</v>
      </c>
      <c r="R60" s="92">
        <v>3727.6980264334475</v>
      </c>
      <c r="S60" s="92">
        <v>3420.7115547492313</v>
      </c>
      <c r="T60" s="92">
        <v>3487.0004669380828</v>
      </c>
      <c r="U60" s="92">
        <v>3345.8954561924334</v>
      </c>
      <c r="V60" s="92">
        <v>3510.423969253116</v>
      </c>
      <c r="W60" s="92">
        <v>2648.8546554677373</v>
      </c>
      <c r="X60" s="92">
        <v>2837.359927947186</v>
      </c>
      <c r="Y60" s="92">
        <v>2857.2437513098575</v>
      </c>
      <c r="Z60" s="92">
        <v>2202.079633959132</v>
      </c>
      <c r="AA60" s="92">
        <v>2250.938328232</v>
      </c>
      <c r="AB60" s="92">
        <v>2334.8026242231194</v>
      </c>
      <c r="AC60" s="92">
        <v>2170.8767220859086</v>
      </c>
      <c r="AD60" s="92">
        <v>1994.6337990997031</v>
      </c>
      <c r="AE60" s="92">
        <v>1920.3127400805222</v>
      </c>
      <c r="AF60" s="92">
        <v>1679.7742163680014</v>
      </c>
      <c r="AG60" s="92">
        <v>1812.1463499043764</v>
      </c>
      <c r="AH60" s="92">
        <v>1515.7651959454997</v>
      </c>
      <c r="AI60" s="338">
        <v>1619.4214778596295</v>
      </c>
      <c r="AJ60" s="338">
        <f>AI60+(AK60-AI60)/2</f>
        <v>1508.4418537320594</v>
      </c>
      <c r="AK60" s="338">
        <v>1397.462229604489</v>
      </c>
      <c r="AL60" s="338">
        <f>AK60+(AN60-AK60)/3</f>
        <v>1302.051668104081</v>
      </c>
      <c r="AM60" s="338">
        <f>AK60+(AN60-AK60)*2/3</f>
        <v>1206.6411066036733</v>
      </c>
      <c r="AN60" s="338">
        <v>1111.2305451032653</v>
      </c>
      <c r="AO60" s="338">
        <f>AN60+(AP60-AN60)/2</f>
        <v>1024.1761897262222</v>
      </c>
      <c r="AP60" s="338">
        <v>937.12183434917938</v>
      </c>
    </row>
    <row r="61" spans="1:42" ht="24">
      <c r="A61" s="91" t="s">
        <v>215</v>
      </c>
      <c r="B61" s="92">
        <v>0</v>
      </c>
      <c r="C61" s="92">
        <v>0</v>
      </c>
      <c r="D61" s="92">
        <v>0</v>
      </c>
      <c r="E61" s="92">
        <v>0</v>
      </c>
      <c r="F61" s="92">
        <v>0</v>
      </c>
      <c r="G61" s="92">
        <v>0</v>
      </c>
      <c r="H61" s="92">
        <v>0</v>
      </c>
      <c r="I61" s="92">
        <v>0</v>
      </c>
      <c r="J61" s="92">
        <v>0</v>
      </c>
      <c r="K61" s="92">
        <v>0</v>
      </c>
      <c r="L61" s="92">
        <v>0</v>
      </c>
      <c r="M61" s="92">
        <v>0</v>
      </c>
      <c r="N61" s="92">
        <v>0</v>
      </c>
      <c r="O61" s="92">
        <v>0</v>
      </c>
      <c r="P61" s="92">
        <v>0</v>
      </c>
      <c r="Q61" s="92">
        <v>0</v>
      </c>
      <c r="R61" s="92">
        <v>0</v>
      </c>
      <c r="S61" s="92">
        <v>0</v>
      </c>
      <c r="T61" s="92">
        <v>0</v>
      </c>
      <c r="U61" s="92">
        <v>0</v>
      </c>
      <c r="V61" s="92">
        <v>0</v>
      </c>
      <c r="W61" s="92">
        <v>0</v>
      </c>
      <c r="X61" s="92">
        <v>0</v>
      </c>
      <c r="Y61" s="92">
        <v>0</v>
      </c>
      <c r="Z61" s="92">
        <v>0</v>
      </c>
      <c r="AA61" s="92">
        <v>0</v>
      </c>
      <c r="AB61" s="92">
        <v>0</v>
      </c>
      <c r="AC61" s="92">
        <v>0</v>
      </c>
      <c r="AD61" s="92">
        <v>0</v>
      </c>
      <c r="AE61" s="92">
        <v>0</v>
      </c>
      <c r="AF61" s="92">
        <v>0</v>
      </c>
      <c r="AG61" s="92">
        <v>0</v>
      </c>
      <c r="AH61" s="92">
        <v>0</v>
      </c>
      <c r="AI61" s="338">
        <v>0</v>
      </c>
      <c r="AJ61" s="338">
        <f t="shared" ref="AJ61:AJ66" si="19">AI61+(AK61-AI61)/2</f>
        <v>0</v>
      </c>
      <c r="AK61" s="338">
        <v>0</v>
      </c>
      <c r="AL61" s="338">
        <f t="shared" ref="AL61:AL68" si="20">AK61+(AN61-AK61)/3</f>
        <v>0</v>
      </c>
      <c r="AM61" s="338">
        <f t="shared" ref="AM61:AM68" si="21">AK61+(AN61-AK61)*2/3</f>
        <v>0</v>
      </c>
      <c r="AN61" s="338">
        <v>0</v>
      </c>
      <c r="AO61" s="338">
        <f t="shared" ref="AO61:AO66" si="22">AN61+(AP61-AN61)/2</f>
        <v>0</v>
      </c>
      <c r="AP61" s="338">
        <v>0</v>
      </c>
    </row>
    <row r="62" spans="1:42" ht="24">
      <c r="A62" s="91" t="s">
        <v>419</v>
      </c>
      <c r="B62" s="92">
        <v>0</v>
      </c>
      <c r="C62" s="92">
        <v>0</v>
      </c>
      <c r="D62" s="92">
        <v>0</v>
      </c>
      <c r="E62" s="92">
        <v>0</v>
      </c>
      <c r="F62" s="92">
        <v>0</v>
      </c>
      <c r="G62" s="92">
        <v>0</v>
      </c>
      <c r="H62" s="92">
        <v>0</v>
      </c>
      <c r="I62" s="92">
        <v>0</v>
      </c>
      <c r="J62" s="92">
        <v>0</v>
      </c>
      <c r="K62" s="92">
        <v>0</v>
      </c>
      <c r="L62" s="92">
        <v>0</v>
      </c>
      <c r="M62" s="92">
        <v>0</v>
      </c>
      <c r="N62" s="92">
        <v>0</v>
      </c>
      <c r="O62" s="92">
        <v>0</v>
      </c>
      <c r="P62" s="92">
        <v>0</v>
      </c>
      <c r="Q62" s="92">
        <v>0</v>
      </c>
      <c r="R62" s="92">
        <v>0</v>
      </c>
      <c r="S62" s="92">
        <v>0</v>
      </c>
      <c r="T62" s="92">
        <v>0</v>
      </c>
      <c r="U62" s="92">
        <v>0</v>
      </c>
      <c r="V62" s="92">
        <v>0</v>
      </c>
      <c r="W62" s="92">
        <v>0</v>
      </c>
      <c r="X62" s="92">
        <v>0</v>
      </c>
      <c r="Y62" s="92">
        <v>0</v>
      </c>
      <c r="Z62" s="92">
        <v>0</v>
      </c>
      <c r="AA62" s="92">
        <v>0</v>
      </c>
      <c r="AB62" s="92">
        <v>0</v>
      </c>
      <c r="AC62" s="92">
        <v>0</v>
      </c>
      <c r="AD62" s="92">
        <v>0</v>
      </c>
      <c r="AE62" s="92">
        <v>0</v>
      </c>
      <c r="AF62" s="92">
        <v>0</v>
      </c>
      <c r="AG62" s="92">
        <v>0</v>
      </c>
      <c r="AH62" s="92">
        <v>0</v>
      </c>
      <c r="AI62" s="338">
        <v>0</v>
      </c>
      <c r="AJ62" s="338">
        <f t="shared" si="19"/>
        <v>0</v>
      </c>
      <c r="AK62" s="338">
        <v>0</v>
      </c>
      <c r="AL62" s="338">
        <f t="shared" si="20"/>
        <v>0</v>
      </c>
      <c r="AM62" s="338">
        <f t="shared" si="21"/>
        <v>0</v>
      </c>
      <c r="AN62" s="338">
        <v>0</v>
      </c>
      <c r="AO62" s="338">
        <f t="shared" si="22"/>
        <v>0</v>
      </c>
      <c r="AP62" s="338">
        <v>0</v>
      </c>
    </row>
    <row r="63" spans="1:42" ht="60">
      <c r="A63" s="91" t="s">
        <v>216</v>
      </c>
      <c r="B63" s="92">
        <v>0</v>
      </c>
      <c r="C63" s="92">
        <v>0</v>
      </c>
      <c r="D63" s="92">
        <v>0</v>
      </c>
      <c r="E63" s="92">
        <v>0</v>
      </c>
      <c r="F63" s="92">
        <v>0</v>
      </c>
      <c r="G63" s="92">
        <v>0</v>
      </c>
      <c r="H63" s="92">
        <v>0</v>
      </c>
      <c r="I63" s="92">
        <v>0</v>
      </c>
      <c r="J63" s="92">
        <v>0</v>
      </c>
      <c r="K63" s="92">
        <v>0</v>
      </c>
      <c r="L63" s="92">
        <v>0</v>
      </c>
      <c r="M63" s="92">
        <v>0</v>
      </c>
      <c r="N63" s="92">
        <v>0</v>
      </c>
      <c r="O63" s="92">
        <v>0</v>
      </c>
      <c r="P63" s="92">
        <v>0</v>
      </c>
      <c r="Q63" s="92">
        <v>0</v>
      </c>
      <c r="R63" s="92">
        <v>0</v>
      </c>
      <c r="S63" s="92">
        <v>0</v>
      </c>
      <c r="T63" s="92">
        <v>0</v>
      </c>
      <c r="U63" s="92">
        <v>0</v>
      </c>
      <c r="V63" s="92">
        <v>0</v>
      </c>
      <c r="W63" s="92">
        <v>0</v>
      </c>
      <c r="X63" s="92">
        <v>0</v>
      </c>
      <c r="Y63" s="92">
        <v>0</v>
      </c>
      <c r="Z63" s="92">
        <v>0</v>
      </c>
      <c r="AA63" s="92">
        <v>0</v>
      </c>
      <c r="AB63" s="92">
        <v>0</v>
      </c>
      <c r="AC63" s="92">
        <v>0</v>
      </c>
      <c r="AD63" s="92">
        <v>0</v>
      </c>
      <c r="AE63" s="92">
        <v>0</v>
      </c>
      <c r="AF63" s="92">
        <v>0</v>
      </c>
      <c r="AG63" s="92">
        <v>0</v>
      </c>
      <c r="AH63" s="92">
        <v>0</v>
      </c>
      <c r="AI63" s="338">
        <v>0</v>
      </c>
      <c r="AJ63" s="338">
        <f t="shared" si="19"/>
        <v>0</v>
      </c>
      <c r="AK63" s="338">
        <v>0</v>
      </c>
      <c r="AL63" s="338">
        <f t="shared" si="20"/>
        <v>0</v>
      </c>
      <c r="AM63" s="338">
        <f t="shared" si="21"/>
        <v>0</v>
      </c>
      <c r="AN63" s="338">
        <v>0</v>
      </c>
      <c r="AO63" s="338">
        <f t="shared" si="22"/>
        <v>0</v>
      </c>
      <c r="AP63" s="338">
        <v>0</v>
      </c>
    </row>
    <row r="64" spans="1:42" ht="36">
      <c r="A64" s="91" t="s">
        <v>420</v>
      </c>
      <c r="B64" s="92">
        <v>12.795965583102042</v>
      </c>
      <c r="C64" s="92">
        <v>12.795965583102042</v>
      </c>
      <c r="D64" s="92">
        <v>12.795965583102042</v>
      </c>
      <c r="E64" s="92">
        <v>12.795965583102042</v>
      </c>
      <c r="F64" s="92">
        <v>12.795965583102042</v>
      </c>
      <c r="G64" s="92">
        <v>12.795965583102042</v>
      </c>
      <c r="H64" s="92">
        <v>12.79596558310204</v>
      </c>
      <c r="I64" s="92">
        <v>12.795965583102042</v>
      </c>
      <c r="J64" s="92">
        <v>12.79596558310204</v>
      </c>
      <c r="K64" s="92">
        <v>12.79596558310204</v>
      </c>
      <c r="L64" s="92">
        <v>12.795965583102042</v>
      </c>
      <c r="M64" s="92">
        <v>12.795965583102042</v>
      </c>
      <c r="N64" s="92">
        <v>12.79596558310204</v>
      </c>
      <c r="O64" s="92">
        <v>12.795965583102044</v>
      </c>
      <c r="P64" s="92">
        <v>12.79596558310204</v>
      </c>
      <c r="Q64" s="92">
        <v>12.795965583102042</v>
      </c>
      <c r="R64" s="92">
        <v>12.79596558310204</v>
      </c>
      <c r="S64" s="92">
        <v>12.795965583102042</v>
      </c>
      <c r="T64" s="92">
        <v>12.795965583102042</v>
      </c>
      <c r="U64" s="92">
        <v>12.79596558310204</v>
      </c>
      <c r="V64" s="92">
        <v>12.795965583102042</v>
      </c>
      <c r="W64" s="92">
        <v>12.79596558310204</v>
      </c>
      <c r="X64" s="92">
        <v>12.795965583102044</v>
      </c>
      <c r="Y64" s="92">
        <v>12.79596558310204</v>
      </c>
      <c r="Z64" s="92">
        <v>12.795965583102042</v>
      </c>
      <c r="AA64" s="92">
        <v>12.795965583102042</v>
      </c>
      <c r="AB64" s="92">
        <v>12.795965583102042</v>
      </c>
      <c r="AC64" s="92">
        <v>12.795965583102042</v>
      </c>
      <c r="AD64" s="92">
        <v>12.79596558310204</v>
      </c>
      <c r="AE64" s="92">
        <v>12.79596558310204</v>
      </c>
      <c r="AF64" s="92">
        <v>12.795965583102042</v>
      </c>
      <c r="AG64" s="92">
        <v>12.795965583102046</v>
      </c>
      <c r="AH64" s="92">
        <v>14.161086016879469</v>
      </c>
      <c r="AI64" s="338">
        <v>9.2642720290507388</v>
      </c>
      <c r="AJ64" s="338">
        <f t="shared" si="19"/>
        <v>7.711584423628647</v>
      </c>
      <c r="AK64" s="338">
        <v>6.1588968182065553</v>
      </c>
      <c r="AL64" s="338">
        <f t="shared" si="20"/>
        <v>5.2857385172646927</v>
      </c>
      <c r="AM64" s="338">
        <f t="shared" si="21"/>
        <v>4.41258021632283</v>
      </c>
      <c r="AN64" s="338">
        <v>3.5394219153809674</v>
      </c>
      <c r="AO64" s="338">
        <f t="shared" si="22"/>
        <v>2.6662636144391048</v>
      </c>
      <c r="AP64" s="338">
        <v>1.7931053134972421</v>
      </c>
    </row>
    <row r="65" spans="1:42" ht="48">
      <c r="A65" s="91" t="s">
        <v>421</v>
      </c>
      <c r="B65" s="92">
        <v>1562.6236944353209</v>
      </c>
      <c r="C65" s="92">
        <v>1642.1373559227459</v>
      </c>
      <c r="D65" s="92">
        <v>1722.5412743499157</v>
      </c>
      <c r="E65" s="92">
        <v>1802.7050761750766</v>
      </c>
      <c r="F65" s="92">
        <v>1882.4493975758542</v>
      </c>
      <c r="G65" s="92">
        <v>1962.5910488155932</v>
      </c>
      <c r="H65" s="92">
        <v>2039.9689730218611</v>
      </c>
      <c r="I65" s="92">
        <v>2117.7984388118507</v>
      </c>
      <c r="J65" s="92">
        <v>2196.3419917812234</v>
      </c>
      <c r="K65" s="92">
        <v>2213.4690364546009</v>
      </c>
      <c r="L65" s="92">
        <v>2232.286677574788</v>
      </c>
      <c r="M65" s="92">
        <v>2252.2040740453854</v>
      </c>
      <c r="N65" s="92">
        <v>2221.9570126067356</v>
      </c>
      <c r="O65" s="92">
        <v>2190.6165506939501</v>
      </c>
      <c r="P65" s="92">
        <v>2159.1473599655128</v>
      </c>
      <c r="Q65" s="92">
        <v>2174.8081204219229</v>
      </c>
      <c r="R65" s="92">
        <v>2188.6648283242962</v>
      </c>
      <c r="S65" s="92">
        <v>2201.0500341948559</v>
      </c>
      <c r="T65" s="92">
        <v>2212.5957792729491</v>
      </c>
      <c r="U65" s="92">
        <v>2233.7085699774466</v>
      </c>
      <c r="V65" s="92">
        <v>2243.8964248257507</v>
      </c>
      <c r="W65" s="92">
        <v>2254.331921878138</v>
      </c>
      <c r="X65" s="92">
        <v>2266.9403613260024</v>
      </c>
      <c r="Y65" s="92">
        <v>2279.7243382599086</v>
      </c>
      <c r="Z65" s="92">
        <v>2300.7424847514994</v>
      </c>
      <c r="AA65" s="92">
        <v>2289.4874667443355</v>
      </c>
      <c r="AB65" s="92">
        <v>2288.6353104188156</v>
      </c>
      <c r="AC65" s="92">
        <v>2284.2907046784176</v>
      </c>
      <c r="AD65" s="92">
        <v>2318.6460265325099</v>
      </c>
      <c r="AE65" s="92">
        <v>2354.5291426099989</v>
      </c>
      <c r="AF65" s="92">
        <v>2368.3749805341095</v>
      </c>
      <c r="AG65" s="92">
        <v>2419.8922086331431</v>
      </c>
      <c r="AH65" s="92">
        <v>2419.8922086331431</v>
      </c>
      <c r="AI65" s="338">
        <v>2459.0004275380006</v>
      </c>
      <c r="AJ65" s="338">
        <f t="shared" si="19"/>
        <v>2489.0672792757987</v>
      </c>
      <c r="AK65" s="338">
        <v>2519.1341310135963</v>
      </c>
      <c r="AL65" s="338">
        <f t="shared" si="20"/>
        <v>2522.9228009433218</v>
      </c>
      <c r="AM65" s="338">
        <f t="shared" si="21"/>
        <v>2526.7114708730469</v>
      </c>
      <c r="AN65" s="338">
        <v>2530.5001408027724</v>
      </c>
      <c r="AO65" s="338">
        <f t="shared" si="22"/>
        <v>2528.9450607097588</v>
      </c>
      <c r="AP65" s="338">
        <v>2527.3899806167456</v>
      </c>
    </row>
    <row r="66" spans="1:42" ht="48">
      <c r="A66" s="91" t="s">
        <v>422</v>
      </c>
      <c r="B66" s="92">
        <v>0</v>
      </c>
      <c r="C66" s="92">
        <v>0</v>
      </c>
      <c r="D66" s="92">
        <v>0</v>
      </c>
      <c r="E66" s="92">
        <v>0</v>
      </c>
      <c r="F66" s="92">
        <v>0</v>
      </c>
      <c r="G66" s="92">
        <v>0</v>
      </c>
      <c r="H66" s="92">
        <v>0</v>
      </c>
      <c r="I66" s="92">
        <v>0</v>
      </c>
      <c r="J66" s="92">
        <v>0</v>
      </c>
      <c r="K66" s="92">
        <v>0</v>
      </c>
      <c r="L66" s="92">
        <v>0</v>
      </c>
      <c r="M66" s="92">
        <v>0</v>
      </c>
      <c r="N66" s="92">
        <v>0</v>
      </c>
      <c r="O66" s="92">
        <v>0</v>
      </c>
      <c r="P66" s="92">
        <v>0</v>
      </c>
      <c r="Q66" s="92">
        <v>0</v>
      </c>
      <c r="R66" s="92">
        <v>0</v>
      </c>
      <c r="S66" s="92">
        <v>0</v>
      </c>
      <c r="T66" s="92">
        <v>0</v>
      </c>
      <c r="U66" s="92">
        <v>0</v>
      </c>
      <c r="V66" s="92">
        <v>0</v>
      </c>
      <c r="W66" s="92">
        <v>0</v>
      </c>
      <c r="X66" s="92">
        <v>0</v>
      </c>
      <c r="Y66" s="92">
        <v>0</v>
      </c>
      <c r="Z66" s="92">
        <v>0</v>
      </c>
      <c r="AA66" s="92">
        <v>0</v>
      </c>
      <c r="AB66" s="92">
        <v>0</v>
      </c>
      <c r="AC66" s="92">
        <v>0</v>
      </c>
      <c r="AD66" s="92">
        <v>0</v>
      </c>
      <c r="AE66" s="92">
        <v>0</v>
      </c>
      <c r="AF66" s="92">
        <v>0</v>
      </c>
      <c r="AG66" s="92">
        <v>0</v>
      </c>
      <c r="AH66" s="92">
        <v>0</v>
      </c>
      <c r="AI66" s="338">
        <v>0</v>
      </c>
      <c r="AJ66" s="338">
        <f t="shared" si="19"/>
        <v>0</v>
      </c>
      <c r="AK66" s="338">
        <v>0</v>
      </c>
      <c r="AL66" s="338">
        <f t="shared" si="20"/>
        <v>0</v>
      </c>
      <c r="AM66" s="338">
        <f t="shared" si="21"/>
        <v>0</v>
      </c>
      <c r="AN66" s="338">
        <v>0</v>
      </c>
      <c r="AO66" s="338">
        <f t="shared" si="22"/>
        <v>0</v>
      </c>
      <c r="AP66" s="338">
        <v>0</v>
      </c>
    </row>
    <row r="67" spans="1:42" ht="72">
      <c r="A67" s="110" t="s">
        <v>423</v>
      </c>
      <c r="B67" s="111">
        <v>6675.6415288104508</v>
      </c>
      <c r="C67" s="111">
        <v>7671.1916102580371</v>
      </c>
      <c r="D67" s="111">
        <v>7486.9779009180438</v>
      </c>
      <c r="E67" s="111">
        <v>7336.1771008206415</v>
      </c>
      <c r="F67" s="111">
        <v>6665.6943045835169</v>
      </c>
      <c r="G67" s="111">
        <v>6794.0809831074102</v>
      </c>
      <c r="H67" s="111">
        <v>7307.314563617032</v>
      </c>
      <c r="I67" s="111">
        <v>6752.1575546532822</v>
      </c>
      <c r="J67" s="111">
        <v>6862.6695608581849</v>
      </c>
      <c r="K67" s="111">
        <v>6645.508427924211</v>
      </c>
      <c r="L67" s="111">
        <v>6429.2012201611406</v>
      </c>
      <c r="M67" s="111">
        <v>6558.9580456396106</v>
      </c>
      <c r="N67" s="111">
        <v>6209.0248247208856</v>
      </c>
      <c r="O67" s="111">
        <v>6465.5110882147637</v>
      </c>
      <c r="P67" s="111">
        <v>6456.9098242782056</v>
      </c>
      <c r="Q67" s="111">
        <v>6325.1438072587753</v>
      </c>
      <c r="R67" s="111">
        <v>5929.1588203408455</v>
      </c>
      <c r="S67" s="111">
        <v>5634.5575545271895</v>
      </c>
      <c r="T67" s="111">
        <v>5712.3922117941338</v>
      </c>
      <c r="U67" s="111">
        <v>5592.3999917529818</v>
      </c>
      <c r="V67" s="111">
        <v>5767.1163596619681</v>
      </c>
      <c r="W67" s="111">
        <v>4915.9825429289776</v>
      </c>
      <c r="X67" s="111">
        <v>5117.0962548562902</v>
      </c>
      <c r="Y67" s="111">
        <v>5149.7640551528675</v>
      </c>
      <c r="Z67" s="111">
        <v>4515.6180842937338</v>
      </c>
      <c r="AA67" s="111">
        <v>4553.2217605594378</v>
      </c>
      <c r="AB67" s="111">
        <v>4636.2339002250374</v>
      </c>
      <c r="AC67" s="111">
        <v>4467.9633923474285</v>
      </c>
      <c r="AD67" s="111">
        <v>4326.0757912153149</v>
      </c>
      <c r="AE67" s="111">
        <v>4287.6378482736236</v>
      </c>
      <c r="AF67" s="111">
        <v>4060.9451624852127</v>
      </c>
      <c r="AG67" s="111">
        <v>4244.8345241206216</v>
      </c>
      <c r="AH67" s="111">
        <v>3949.8184905955222</v>
      </c>
      <c r="AI67" s="147">
        <v>4087.6861774266808</v>
      </c>
      <c r="AJ67" s="155">
        <f>SUM(AJ60:AJ66)</f>
        <v>4005.2207174314867</v>
      </c>
      <c r="AK67" s="155">
        <v>3922.7552574362921</v>
      </c>
      <c r="AL67" s="155">
        <f t="shared" ref="AL67:AO67" si="23">SUM(AL60:AL66)</f>
        <v>3830.2602075646673</v>
      </c>
      <c r="AM67" s="155">
        <f t="shared" si="23"/>
        <v>3737.765157693043</v>
      </c>
      <c r="AN67" s="155">
        <v>3645.2701078214186</v>
      </c>
      <c r="AO67" s="155">
        <f t="shared" si="23"/>
        <v>3555.7875140504202</v>
      </c>
      <c r="AP67" s="155">
        <v>3466.3049202794223</v>
      </c>
    </row>
    <row r="68" spans="1:42" ht="48">
      <c r="A68" s="91" t="s">
        <v>219</v>
      </c>
      <c r="B68" s="92">
        <v>86.601561716367996</v>
      </c>
      <c r="C68" s="92">
        <v>92.922841241161947</v>
      </c>
      <c r="D68" s="92">
        <v>88.57805647207546</v>
      </c>
      <c r="E68" s="92">
        <v>83.671647241724401</v>
      </c>
      <c r="F68" s="92">
        <v>78.775564390120877</v>
      </c>
      <c r="G68" s="92">
        <v>79.748155624221852</v>
      </c>
      <c r="H68" s="92">
        <v>86.836242587398246</v>
      </c>
      <c r="I68" s="92">
        <v>81.420423715156389</v>
      </c>
      <c r="J68" s="92">
        <v>86.31037501608067</v>
      </c>
      <c r="K68" s="92">
        <v>87.520110465106256</v>
      </c>
      <c r="L68" s="92">
        <v>80.317814524387629</v>
      </c>
      <c r="M68" s="92">
        <v>84.395006488212246</v>
      </c>
      <c r="N68" s="92">
        <v>74.857153482199323</v>
      </c>
      <c r="O68" s="92">
        <v>83.22254835369742</v>
      </c>
      <c r="P68" s="92">
        <v>83.75954488762217</v>
      </c>
      <c r="Q68" s="92">
        <v>81.714731109857482</v>
      </c>
      <c r="R68" s="92">
        <v>74.371141953714599</v>
      </c>
      <c r="S68" s="92">
        <v>72.6281441654764</v>
      </c>
      <c r="T68" s="92">
        <v>78.915732065393456</v>
      </c>
      <c r="U68" s="92">
        <v>83.586838256947459</v>
      </c>
      <c r="V68" s="92">
        <v>82.486529877344353</v>
      </c>
      <c r="W68" s="92">
        <v>61.753702967788982</v>
      </c>
      <c r="X68" s="92">
        <v>68.431654911961076</v>
      </c>
      <c r="Y68" s="92">
        <v>72.537421148217547</v>
      </c>
      <c r="Z68" s="92">
        <v>63.084234933781779</v>
      </c>
      <c r="AA68" s="92">
        <v>66.1285650810607</v>
      </c>
      <c r="AB68" s="92">
        <v>64.586687024871807</v>
      </c>
      <c r="AC68" s="92">
        <v>67.17223888250237</v>
      </c>
      <c r="AD68" s="92">
        <v>65.13296539264141</v>
      </c>
      <c r="AE68" s="92">
        <v>63.830337554974406</v>
      </c>
      <c r="AF68" s="92">
        <v>60.368723641763324</v>
      </c>
      <c r="AG68" s="92">
        <v>62.643481422058414</v>
      </c>
      <c r="AH68" s="92">
        <v>53.16142921534216</v>
      </c>
      <c r="AI68" s="338">
        <v>59.103806522769716</v>
      </c>
      <c r="AJ68" s="338">
        <f>AI68+(AK68-AI68)/2</f>
        <v>55.14353198915029</v>
      </c>
      <c r="AK68" s="338">
        <v>51.183257455530857</v>
      </c>
      <c r="AL68" s="338">
        <f t="shared" si="20"/>
        <v>47.352516556527355</v>
      </c>
      <c r="AM68" s="338">
        <f t="shared" si="21"/>
        <v>43.521775657523847</v>
      </c>
      <c r="AN68" s="338">
        <v>39.691034758520345</v>
      </c>
      <c r="AO68" s="338">
        <f>AN68+(AP68-AN68)/2</f>
        <v>35.860803521219893</v>
      </c>
      <c r="AP68" s="338">
        <v>32.030572283919433</v>
      </c>
    </row>
    <row r="69" spans="1:42" ht="24">
      <c r="A69" s="91" t="s">
        <v>220</v>
      </c>
      <c r="B69" s="92">
        <v>0</v>
      </c>
      <c r="C69" s="92">
        <v>0</v>
      </c>
      <c r="D69" s="92">
        <v>0</v>
      </c>
      <c r="E69" s="92">
        <v>0</v>
      </c>
      <c r="F69" s="92">
        <v>0</v>
      </c>
      <c r="G69" s="92">
        <v>0</v>
      </c>
      <c r="H69" s="92">
        <v>0</v>
      </c>
      <c r="I69" s="92">
        <v>0</v>
      </c>
      <c r="J69" s="92">
        <v>0</v>
      </c>
      <c r="K69" s="92">
        <v>0</v>
      </c>
      <c r="L69" s="92">
        <v>0</v>
      </c>
      <c r="M69" s="92">
        <v>0</v>
      </c>
      <c r="N69" s="92">
        <v>0</v>
      </c>
      <c r="O69" s="92">
        <v>0</v>
      </c>
      <c r="P69" s="92">
        <v>0</v>
      </c>
      <c r="Q69" s="92">
        <v>0</v>
      </c>
      <c r="R69" s="92">
        <v>0</v>
      </c>
      <c r="S69" s="92">
        <v>0</v>
      </c>
      <c r="T69" s="92">
        <v>0</v>
      </c>
      <c r="U69" s="92">
        <v>0</v>
      </c>
      <c r="V69" s="92">
        <v>0</v>
      </c>
      <c r="W69" s="92">
        <v>0</v>
      </c>
      <c r="X69" s="92">
        <v>0</v>
      </c>
      <c r="Y69" s="92">
        <v>0</v>
      </c>
      <c r="Z69" s="92">
        <v>0</v>
      </c>
      <c r="AA69" s="92">
        <v>0</v>
      </c>
      <c r="AB69" s="92">
        <v>0</v>
      </c>
      <c r="AC69" s="92">
        <v>0</v>
      </c>
      <c r="AD69" s="92">
        <v>0</v>
      </c>
      <c r="AE69" s="92">
        <v>0</v>
      </c>
      <c r="AF69" s="92">
        <v>0</v>
      </c>
      <c r="AG69" s="92">
        <v>0</v>
      </c>
      <c r="AH69" s="92">
        <v>0</v>
      </c>
      <c r="AI69" s="338">
        <v>0</v>
      </c>
      <c r="AJ69" s="338">
        <f t="shared" ref="AJ69:AJ72" si="24">AI69+(AK69-AI69)/2</f>
        <v>0</v>
      </c>
      <c r="AK69" s="338">
        <v>0</v>
      </c>
      <c r="AL69" s="338">
        <f t="shared" ref="AL69:AL72" si="25">AK69+(AN69-AK69)/3</f>
        <v>0</v>
      </c>
      <c r="AM69" s="338">
        <f t="shared" ref="AM69:AM72" si="26">AK69+(AN69-AK69)*2/3</f>
        <v>0</v>
      </c>
      <c r="AN69" s="338">
        <v>0</v>
      </c>
      <c r="AO69" s="338">
        <f t="shared" ref="AO69:AO72" si="27">AN69+(AP69-AN69)/2</f>
        <v>0</v>
      </c>
      <c r="AP69" s="338">
        <v>0</v>
      </c>
    </row>
    <row r="70" spans="1:42" ht="24">
      <c r="A70" s="91" t="s">
        <v>222</v>
      </c>
      <c r="B70" s="92">
        <v>0</v>
      </c>
      <c r="C70" s="92">
        <v>0</v>
      </c>
      <c r="D70" s="92">
        <v>0</v>
      </c>
      <c r="E70" s="92">
        <v>0</v>
      </c>
      <c r="F70" s="92">
        <v>0</v>
      </c>
      <c r="G70" s="92">
        <v>0</v>
      </c>
      <c r="H70" s="92">
        <v>0</v>
      </c>
      <c r="I70" s="92">
        <v>0</v>
      </c>
      <c r="J70" s="92">
        <v>0</v>
      </c>
      <c r="K70" s="92">
        <v>0</v>
      </c>
      <c r="L70" s="92">
        <v>0</v>
      </c>
      <c r="M70" s="92">
        <v>0</v>
      </c>
      <c r="N70" s="92">
        <v>0</v>
      </c>
      <c r="O70" s="92">
        <v>0</v>
      </c>
      <c r="P70" s="92">
        <v>0</v>
      </c>
      <c r="Q70" s="92">
        <v>0</v>
      </c>
      <c r="R70" s="92">
        <v>0</v>
      </c>
      <c r="S70" s="92">
        <v>0</v>
      </c>
      <c r="T70" s="92">
        <v>0</v>
      </c>
      <c r="U70" s="92">
        <v>0</v>
      </c>
      <c r="V70" s="92">
        <v>0</v>
      </c>
      <c r="W70" s="92">
        <v>0</v>
      </c>
      <c r="X70" s="92">
        <v>0</v>
      </c>
      <c r="Y70" s="92">
        <v>0</v>
      </c>
      <c r="Z70" s="92">
        <v>0</v>
      </c>
      <c r="AA70" s="92">
        <v>0</v>
      </c>
      <c r="AB70" s="92">
        <v>0</v>
      </c>
      <c r="AC70" s="92">
        <v>0</v>
      </c>
      <c r="AD70" s="92">
        <v>0</v>
      </c>
      <c r="AE70" s="92">
        <v>0</v>
      </c>
      <c r="AF70" s="92">
        <v>0</v>
      </c>
      <c r="AG70" s="92">
        <v>0</v>
      </c>
      <c r="AH70" s="92">
        <v>0</v>
      </c>
      <c r="AI70" s="338">
        <v>0</v>
      </c>
      <c r="AJ70" s="338">
        <f t="shared" si="24"/>
        <v>0</v>
      </c>
      <c r="AK70" s="338">
        <v>0</v>
      </c>
      <c r="AL70" s="338">
        <f t="shared" si="25"/>
        <v>0</v>
      </c>
      <c r="AM70" s="338">
        <f t="shared" si="26"/>
        <v>0</v>
      </c>
      <c r="AN70" s="338">
        <v>0</v>
      </c>
      <c r="AO70" s="338">
        <f t="shared" si="27"/>
        <v>0</v>
      </c>
      <c r="AP70" s="338">
        <v>0</v>
      </c>
    </row>
    <row r="71" spans="1:42" ht="84">
      <c r="A71" s="91" t="s">
        <v>221</v>
      </c>
      <c r="B71" s="92">
        <v>0</v>
      </c>
      <c r="C71" s="92">
        <v>0</v>
      </c>
      <c r="D71" s="92">
        <v>0</v>
      </c>
      <c r="E71" s="92">
        <v>0</v>
      </c>
      <c r="F71" s="92">
        <v>0</v>
      </c>
      <c r="G71" s="92">
        <v>0</v>
      </c>
      <c r="H71" s="92">
        <v>0</v>
      </c>
      <c r="I71" s="92">
        <v>0</v>
      </c>
      <c r="J71" s="92">
        <v>0</v>
      </c>
      <c r="K71" s="92">
        <v>0</v>
      </c>
      <c r="L71" s="92">
        <v>0</v>
      </c>
      <c r="M71" s="92">
        <v>0</v>
      </c>
      <c r="N71" s="92">
        <v>0</v>
      </c>
      <c r="O71" s="92">
        <v>0</v>
      </c>
      <c r="P71" s="92">
        <v>0</v>
      </c>
      <c r="Q71" s="92">
        <v>0</v>
      </c>
      <c r="R71" s="92">
        <v>0</v>
      </c>
      <c r="S71" s="92">
        <v>0</v>
      </c>
      <c r="T71" s="92">
        <v>0</v>
      </c>
      <c r="U71" s="92">
        <v>0</v>
      </c>
      <c r="V71" s="92">
        <v>0</v>
      </c>
      <c r="W71" s="92">
        <v>0</v>
      </c>
      <c r="X71" s="92">
        <v>0</v>
      </c>
      <c r="Y71" s="92">
        <v>0</v>
      </c>
      <c r="Z71" s="92">
        <v>0</v>
      </c>
      <c r="AA71" s="92">
        <v>0</v>
      </c>
      <c r="AB71" s="92">
        <v>0</v>
      </c>
      <c r="AC71" s="92">
        <v>0</v>
      </c>
      <c r="AD71" s="92">
        <v>0</v>
      </c>
      <c r="AE71" s="92">
        <v>0</v>
      </c>
      <c r="AF71" s="92">
        <v>0</v>
      </c>
      <c r="AG71" s="92">
        <v>0</v>
      </c>
      <c r="AH71" s="92">
        <v>0</v>
      </c>
      <c r="AI71" s="338">
        <v>0</v>
      </c>
      <c r="AJ71" s="338">
        <f t="shared" si="24"/>
        <v>0</v>
      </c>
      <c r="AK71" s="338">
        <v>0</v>
      </c>
      <c r="AL71" s="338">
        <f t="shared" si="25"/>
        <v>0</v>
      </c>
      <c r="AM71" s="338">
        <f t="shared" si="26"/>
        <v>0</v>
      </c>
      <c r="AN71" s="338">
        <v>0</v>
      </c>
      <c r="AO71" s="338">
        <f t="shared" si="27"/>
        <v>0</v>
      </c>
      <c r="AP71" s="338">
        <v>0</v>
      </c>
    </row>
    <row r="72" spans="1:42" ht="72">
      <c r="A72" s="91" t="s">
        <v>424</v>
      </c>
      <c r="B72" s="92">
        <v>3.2905118400000002</v>
      </c>
      <c r="C72" s="92">
        <v>2.9402374399999998</v>
      </c>
      <c r="D72" s="92">
        <v>2.1892105824723092</v>
      </c>
      <c r="E72" s="92">
        <v>1.6401014802990397</v>
      </c>
      <c r="F72" s="92">
        <v>1.1700814835768152</v>
      </c>
      <c r="G72" s="92">
        <v>0.95201643668627234</v>
      </c>
      <c r="H72" s="92">
        <v>0.90192245237769442</v>
      </c>
      <c r="I72" s="92">
        <v>1.0279284313179933</v>
      </c>
      <c r="J72" s="92">
        <v>1.0941840151706421</v>
      </c>
      <c r="K72" s="92">
        <v>1.0949548522117236</v>
      </c>
      <c r="L72" s="92">
        <v>1.0210512438971737</v>
      </c>
      <c r="M72" s="92">
        <v>1.9002798288097817</v>
      </c>
      <c r="N72" s="92">
        <v>4.65437613313743</v>
      </c>
      <c r="O72" s="92">
        <v>4.7987902222213688</v>
      </c>
      <c r="P72" s="92">
        <v>4.920102230996978</v>
      </c>
      <c r="Q72" s="92">
        <v>4.5091078315487039</v>
      </c>
      <c r="R72" s="92">
        <v>4.5330620222206166</v>
      </c>
      <c r="S72" s="92">
        <v>4.2477717693149675</v>
      </c>
      <c r="T72" s="92">
        <v>4.1668754270806536</v>
      </c>
      <c r="U72" s="92">
        <v>3.3898753820948131</v>
      </c>
      <c r="V72" s="92">
        <v>3.4847284374624925</v>
      </c>
      <c r="W72" s="92">
        <v>3.9349217190132677</v>
      </c>
      <c r="X72" s="92">
        <v>3.5137038559734761</v>
      </c>
      <c r="Y72" s="92">
        <v>3.2974316716591829</v>
      </c>
      <c r="Z72" s="92">
        <v>3.1106558609442052</v>
      </c>
      <c r="AA72" s="92">
        <v>3.0582632224307331</v>
      </c>
      <c r="AB72" s="92">
        <v>1.9625098196449442</v>
      </c>
      <c r="AC72" s="92">
        <v>1.7769898182180199</v>
      </c>
      <c r="AD72" s="92">
        <v>1.9109769249768189</v>
      </c>
      <c r="AE72" s="92">
        <v>2.4691127597518729</v>
      </c>
      <c r="AF72" s="92">
        <v>2.2805734800029094</v>
      </c>
      <c r="AG72" s="92">
        <v>3.0741972181834019</v>
      </c>
      <c r="AH72" s="92">
        <v>2.8063187559466822</v>
      </c>
      <c r="AI72" s="338">
        <v>0.16747790575971949</v>
      </c>
      <c r="AJ72" s="338">
        <f t="shared" si="24"/>
        <v>0.14638813897478942</v>
      </c>
      <c r="AK72" s="338">
        <v>0.12529837218985934</v>
      </c>
      <c r="AL72" s="338">
        <f t="shared" si="25"/>
        <v>0.10514338775009485</v>
      </c>
      <c r="AM72" s="338">
        <f t="shared" si="26"/>
        <v>8.4988403310330363E-2</v>
      </c>
      <c r="AN72" s="338">
        <v>6.4833418870565873E-2</v>
      </c>
      <c r="AO72" s="338">
        <f t="shared" si="27"/>
        <v>4.4678434430801398E-2</v>
      </c>
      <c r="AP72" s="338">
        <v>2.4523449991036925E-2</v>
      </c>
    </row>
    <row r="73" spans="1:42">
      <c r="A73" s="112" t="s">
        <v>425</v>
      </c>
      <c r="B73" s="113">
        <v>6765.5336023668187</v>
      </c>
      <c r="C73" s="113">
        <v>7767.054688939199</v>
      </c>
      <c r="D73" s="113">
        <v>7577.7451679725918</v>
      </c>
      <c r="E73" s="113">
        <v>7421.4888495426649</v>
      </c>
      <c r="F73" s="113">
        <v>6745.6399504572146</v>
      </c>
      <c r="G73" s="113">
        <v>6874.781155168318</v>
      </c>
      <c r="H73" s="113">
        <v>7395.0527286568076</v>
      </c>
      <c r="I73" s="113">
        <v>6834.6059067997567</v>
      </c>
      <c r="J73" s="113">
        <v>6950.0741198894366</v>
      </c>
      <c r="K73" s="113">
        <v>6734.1234932415291</v>
      </c>
      <c r="L73" s="113">
        <v>6510.540085929425</v>
      </c>
      <c r="M73" s="113">
        <v>6645.2533319566328</v>
      </c>
      <c r="N73" s="113">
        <v>6288.5363543362228</v>
      </c>
      <c r="O73" s="113">
        <v>6553.5324267906826</v>
      </c>
      <c r="P73" s="113">
        <v>6545.5894713968246</v>
      </c>
      <c r="Q73" s="113">
        <v>6411.3676462001813</v>
      </c>
      <c r="R73" s="113">
        <v>6008.0630243167807</v>
      </c>
      <c r="S73" s="113">
        <v>5711.4334704619805</v>
      </c>
      <c r="T73" s="113">
        <v>5795.4748192866082</v>
      </c>
      <c r="U73" s="113">
        <v>5679.3767053920237</v>
      </c>
      <c r="V73" s="113">
        <v>5853.0876179767747</v>
      </c>
      <c r="W73" s="113">
        <v>4981.6711676157802</v>
      </c>
      <c r="X73" s="113">
        <v>5189.0416136242247</v>
      </c>
      <c r="Y73" s="113">
        <v>5225.5989079727442</v>
      </c>
      <c r="Z73" s="113">
        <v>4581.81297508846</v>
      </c>
      <c r="AA73" s="113">
        <v>4622.4085888629288</v>
      </c>
      <c r="AB73" s="113">
        <v>4702.7830970695541</v>
      </c>
      <c r="AC73" s="113">
        <v>4536.912621048149</v>
      </c>
      <c r="AD73" s="113">
        <v>4393.1197335329334</v>
      </c>
      <c r="AE73" s="113">
        <v>4353.9372985883501</v>
      </c>
      <c r="AF73" s="113">
        <v>4123.5944596069785</v>
      </c>
      <c r="AG73" s="113">
        <v>4310.5522027608631</v>
      </c>
      <c r="AH73" s="113">
        <v>4005.7862385668109</v>
      </c>
      <c r="AI73" s="344">
        <v>4146.9574618552106</v>
      </c>
      <c r="AJ73" s="147">
        <f>AJ67+AJ68+SUM(AJ69:AJ72)</f>
        <v>4060.510637559612</v>
      </c>
      <c r="AK73" s="147">
        <v>3974.0638132640129</v>
      </c>
      <c r="AL73" s="147">
        <f>AL67+AL68+SUM(AL69:AL72)</f>
        <v>3877.7178675089449</v>
      </c>
      <c r="AM73" s="147">
        <f>AM67+AM68+SUM(AM69:AM72)</f>
        <v>3781.3719217538774</v>
      </c>
      <c r="AN73" s="147">
        <v>3685.0259759988098</v>
      </c>
      <c r="AO73" s="147">
        <f>AO67+AO68+SUM(AO69:AO72)</f>
        <v>3591.6929960060711</v>
      </c>
      <c r="AP73" s="147">
        <v>3498.3600160133328</v>
      </c>
    </row>
    <row r="74" spans="1:42" ht="15">
      <c r="A74" s="421"/>
      <c r="B74" s="421"/>
      <c r="C74" s="421"/>
      <c r="D74" s="421"/>
      <c r="E74" s="421"/>
      <c r="F74" s="421"/>
      <c r="G74" s="421"/>
      <c r="H74" s="421"/>
      <c r="I74" s="421"/>
      <c r="J74" s="421"/>
      <c r="K74" s="421"/>
      <c r="L74" s="421"/>
      <c r="M74" s="421"/>
      <c r="N74" s="421"/>
      <c r="O74" s="421"/>
      <c r="P74" s="421"/>
      <c r="Q74" s="421"/>
      <c r="R74" s="421"/>
      <c r="S74" s="421"/>
      <c r="T74" s="421"/>
      <c r="U74" s="421"/>
      <c r="V74" s="421"/>
      <c r="W74" s="421"/>
      <c r="X74" s="421"/>
      <c r="Y74" s="421"/>
      <c r="Z74" s="421"/>
      <c r="AA74" s="421"/>
      <c r="AB74" s="421"/>
      <c r="AC74" s="70"/>
      <c r="AD74" s="70"/>
      <c r="AE74" s="70"/>
      <c r="AF74" s="70"/>
      <c r="AG74" s="70"/>
      <c r="AH74" s="70"/>
    </row>
    <row r="75" spans="1:42">
      <c r="A75" s="114" t="s">
        <v>400</v>
      </c>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430" t="s">
        <v>393</v>
      </c>
      <c r="AJ75" s="430"/>
      <c r="AK75" s="430"/>
      <c r="AL75" s="430"/>
      <c r="AM75" s="430"/>
      <c r="AN75" s="430"/>
      <c r="AO75" s="430"/>
      <c r="AP75" s="430"/>
    </row>
    <row r="76" spans="1:42" ht="105.6">
      <c r="A76" s="75" t="s">
        <v>481</v>
      </c>
      <c r="B76" s="76">
        <v>1990</v>
      </c>
      <c r="C76" s="76">
        <v>1991</v>
      </c>
      <c r="D76" s="76">
        <v>1992</v>
      </c>
      <c r="E76" s="76">
        <v>1993</v>
      </c>
      <c r="F76" s="76">
        <v>1994</v>
      </c>
      <c r="G76" s="76">
        <v>1995</v>
      </c>
      <c r="H76" s="76">
        <v>1996</v>
      </c>
      <c r="I76" s="76">
        <v>1997</v>
      </c>
      <c r="J76" s="76">
        <v>1998</v>
      </c>
      <c r="K76" s="76">
        <v>1999</v>
      </c>
      <c r="L76" s="76">
        <v>2000</v>
      </c>
      <c r="M76" s="76">
        <v>2001</v>
      </c>
      <c r="N76" s="76">
        <v>2002</v>
      </c>
      <c r="O76" s="76">
        <v>2003</v>
      </c>
      <c r="P76" s="76">
        <v>2004</v>
      </c>
      <c r="Q76" s="76">
        <v>2005</v>
      </c>
      <c r="R76" s="76">
        <v>2006</v>
      </c>
      <c r="S76" s="76">
        <v>2007</v>
      </c>
      <c r="T76" s="76">
        <v>2008</v>
      </c>
      <c r="U76" s="76">
        <v>2009</v>
      </c>
      <c r="V76" s="76">
        <v>2010</v>
      </c>
      <c r="W76" s="76">
        <v>2011</v>
      </c>
      <c r="X76" s="76">
        <v>2012</v>
      </c>
      <c r="Y76" s="76">
        <v>2013</v>
      </c>
      <c r="Z76" s="76">
        <v>2014</v>
      </c>
      <c r="AA76" s="76">
        <v>2015</v>
      </c>
      <c r="AB76" s="76">
        <v>2016</v>
      </c>
      <c r="AC76" s="76">
        <v>2017</v>
      </c>
      <c r="AD76" s="76">
        <v>2018</v>
      </c>
      <c r="AE76" s="76">
        <v>2019</v>
      </c>
      <c r="AF76" s="76">
        <v>2020</v>
      </c>
      <c r="AG76" s="77">
        <v>2021</v>
      </c>
      <c r="AH76" s="77" t="s">
        <v>395</v>
      </c>
      <c r="AI76" s="76">
        <v>2023</v>
      </c>
      <c r="AJ76" s="152">
        <v>2024</v>
      </c>
      <c r="AK76" s="76">
        <v>2025</v>
      </c>
      <c r="AL76" s="152">
        <v>2026</v>
      </c>
      <c r="AM76" s="152">
        <v>2027</v>
      </c>
      <c r="AN76" s="76">
        <v>2028</v>
      </c>
      <c r="AO76" s="152">
        <v>2029</v>
      </c>
      <c r="AP76" s="76">
        <v>2030</v>
      </c>
    </row>
    <row r="77" spans="1:42">
      <c r="A77" s="100" t="s">
        <v>295</v>
      </c>
      <c r="B77" s="92">
        <v>42032.309358163271</v>
      </c>
      <c r="C77" s="92">
        <v>41347.572057209036</v>
      </c>
      <c r="D77" s="92">
        <v>40740.740368201405</v>
      </c>
      <c r="E77" s="92">
        <v>40379.482013276385</v>
      </c>
      <c r="F77" s="92">
        <v>40537.479712300745</v>
      </c>
      <c r="G77" s="92">
        <v>40791.043323612903</v>
      </c>
      <c r="H77" s="92">
        <v>40771.235453072557</v>
      </c>
      <c r="I77" s="92">
        <v>40341.816906425149</v>
      </c>
      <c r="J77" s="92">
        <v>40135.576950427407</v>
      </c>
      <c r="K77" s="92">
        <v>40201.678920427497</v>
      </c>
      <c r="L77" s="92">
        <v>41938.188863990232</v>
      </c>
      <c r="M77" s="92">
        <v>42046.593073298711</v>
      </c>
      <c r="N77" s="92">
        <v>41023.483811835991</v>
      </c>
      <c r="O77" s="92">
        <v>39722.559237199879</v>
      </c>
      <c r="P77" s="92">
        <v>39191.126921045543</v>
      </c>
      <c r="Q77" s="92">
        <v>39082.586459866368</v>
      </c>
      <c r="R77" s="92">
        <v>39259.00271964752</v>
      </c>
      <c r="S77" s="92">
        <v>39691.032659994795</v>
      </c>
      <c r="T77" s="92">
        <v>40400.372139263694</v>
      </c>
      <c r="U77" s="92">
        <v>39930.768405554933</v>
      </c>
      <c r="V77" s="92">
        <v>39702.703509397499</v>
      </c>
      <c r="W77" s="92">
        <v>39155.211218578392</v>
      </c>
      <c r="X77" s="92">
        <v>38793.412248075329</v>
      </c>
      <c r="Y77" s="92">
        <v>38929.28109870862</v>
      </c>
      <c r="Z77" s="92">
        <v>39514.795999139169</v>
      </c>
      <c r="AA77" s="92">
        <v>39705.69587124687</v>
      </c>
      <c r="AB77" s="92">
        <v>39474.448827910994</v>
      </c>
      <c r="AC77" s="92">
        <v>39023.750282199835</v>
      </c>
      <c r="AD77" s="92">
        <v>38302.472210264692</v>
      </c>
      <c r="AE77" s="92">
        <v>37600.437199825654</v>
      </c>
      <c r="AF77" s="92">
        <v>36936.911764025295</v>
      </c>
      <c r="AG77" s="92">
        <v>35983.063516034497</v>
      </c>
      <c r="AH77" s="92">
        <v>35916.685454856859</v>
      </c>
      <c r="AI77" s="338">
        <v>35299.53304859261</v>
      </c>
      <c r="AJ77" s="338">
        <f>AI77+(AK77-AI77)/2</f>
        <v>34766.6447202368</v>
      </c>
      <c r="AK77" s="338">
        <v>34233.75639188099</v>
      </c>
      <c r="AL77" s="338">
        <f>AK77+(AN77-AK77)/3</f>
        <v>33710.743921824549</v>
      </c>
      <c r="AM77" s="338">
        <f>AK77+(AN77-AK77)*2/3</f>
        <v>33187.731451768115</v>
      </c>
      <c r="AN77" s="338">
        <v>32664.718981711674</v>
      </c>
      <c r="AO77" s="338">
        <f>AN77+(AP77-AN77)/2</f>
        <v>32172.261527221919</v>
      </c>
      <c r="AP77" s="338">
        <v>31679.804072732168</v>
      </c>
    </row>
    <row r="78" spans="1:42">
      <c r="A78" s="100" t="s">
        <v>296</v>
      </c>
      <c r="B78" s="92">
        <v>2368.8324995787675</v>
      </c>
      <c r="C78" s="92">
        <v>2376.0499657754281</v>
      </c>
      <c r="D78" s="92">
        <v>2503.1775083885882</v>
      </c>
      <c r="E78" s="92">
        <v>2595.101252994617</v>
      </c>
      <c r="F78" s="92">
        <v>2673.9256618577006</v>
      </c>
      <c r="G78" s="92">
        <v>2693.3749421638663</v>
      </c>
      <c r="H78" s="92">
        <v>2803.346888565658</v>
      </c>
      <c r="I78" s="92">
        <v>2892.8670340877438</v>
      </c>
      <c r="J78" s="92">
        <v>3010.4671700255258</v>
      </c>
      <c r="K78" s="92">
        <v>3081.1245710222051</v>
      </c>
      <c r="L78" s="92">
        <v>3102.713618069266</v>
      </c>
      <c r="M78" s="92">
        <v>3166.9089848059521</v>
      </c>
      <c r="N78" s="92">
        <v>3219.6232658513545</v>
      </c>
      <c r="O78" s="92">
        <v>3212.0655490851382</v>
      </c>
      <c r="P78" s="92">
        <v>3187.7416152458609</v>
      </c>
      <c r="Q78" s="92">
        <v>3150.0171880145613</v>
      </c>
      <c r="R78" s="92">
        <v>3144.3798954225558</v>
      </c>
      <c r="S78" s="92">
        <v>3165.9221103317896</v>
      </c>
      <c r="T78" s="92">
        <v>3160.8043793860311</v>
      </c>
      <c r="U78" s="92">
        <v>3103.7306908838355</v>
      </c>
      <c r="V78" s="92">
        <v>3040.0458206622666</v>
      </c>
      <c r="W78" s="92">
        <v>3005.4367918767111</v>
      </c>
      <c r="X78" s="92">
        <v>2934.4363832066706</v>
      </c>
      <c r="Y78" s="92">
        <v>2889.4567368107228</v>
      </c>
      <c r="Z78" s="92">
        <v>2871.8470834967625</v>
      </c>
      <c r="AA78" s="92">
        <v>2884.8922502764335</v>
      </c>
      <c r="AB78" s="92">
        <v>2916.0330100092701</v>
      </c>
      <c r="AC78" s="92">
        <v>2876.7956396019486</v>
      </c>
      <c r="AD78" s="92">
        <v>2889.5322409507367</v>
      </c>
      <c r="AE78" s="92">
        <v>2865.8165370946422</v>
      </c>
      <c r="AF78" s="92">
        <v>2826.4667850409678</v>
      </c>
      <c r="AG78" s="92">
        <v>2769.2831069172239</v>
      </c>
      <c r="AH78" s="92">
        <v>2769.2831069172244</v>
      </c>
      <c r="AI78" s="338">
        <v>2651.8233609754266</v>
      </c>
      <c r="AJ78" s="338">
        <f t="shared" ref="AJ78:AJ80" si="28">AI78+(AK78-AI78)/2</f>
        <v>2565.3344532861083</v>
      </c>
      <c r="AK78" s="338">
        <v>2478.8455455967901</v>
      </c>
      <c r="AL78" s="338">
        <f t="shared" ref="AL78:AL80" si="29">AK78+(AN78-AK78)/3</f>
        <v>2397.8980467420906</v>
      </c>
      <c r="AM78" s="338">
        <f t="shared" ref="AM78:AM80" si="30">AK78+(AN78-AK78)*2/3</f>
        <v>2316.9505478873916</v>
      </c>
      <c r="AN78" s="338">
        <v>2236.0030490326922</v>
      </c>
      <c r="AO78" s="338">
        <f t="shared" ref="AO78:AO80" si="31">AN78+(AP78-AN78)/2</f>
        <v>2165.5852642304176</v>
      </c>
      <c r="AP78" s="338">
        <v>2095.167479428143</v>
      </c>
    </row>
    <row r="79" spans="1:42">
      <c r="A79" s="100" t="s">
        <v>297</v>
      </c>
      <c r="B79" s="92">
        <v>164.24379265881325</v>
      </c>
      <c r="C79" s="92">
        <v>169.47735813776194</v>
      </c>
      <c r="D79" s="92">
        <v>173.96072900360301</v>
      </c>
      <c r="E79" s="92">
        <v>179.13125911682269</v>
      </c>
      <c r="F79" s="92">
        <v>183.5589624729449</v>
      </c>
      <c r="G79" s="92">
        <v>187.46558143707921</v>
      </c>
      <c r="H79" s="92">
        <v>190.74230851139004</v>
      </c>
      <c r="I79" s="92">
        <v>195.64725999480783</v>
      </c>
      <c r="J79" s="92">
        <v>203.23238439359062</v>
      </c>
      <c r="K79" s="92">
        <v>197.50009148683077</v>
      </c>
      <c r="L79" s="92">
        <v>192.11961855022011</v>
      </c>
      <c r="M79" s="92">
        <v>195.95253179614463</v>
      </c>
      <c r="N79" s="92">
        <v>194.80573921073423</v>
      </c>
      <c r="O79" s="92">
        <v>187.65304655503235</v>
      </c>
      <c r="P79" s="92">
        <v>180.16628507496065</v>
      </c>
      <c r="Q79" s="92">
        <v>175.21043390683451</v>
      </c>
      <c r="R79" s="92">
        <v>173.86263808949465</v>
      </c>
      <c r="S79" s="92">
        <v>174.63897441292377</v>
      </c>
      <c r="T79" s="92">
        <v>174.87816988326756</v>
      </c>
      <c r="U79" s="92">
        <v>174.95699002304187</v>
      </c>
      <c r="V79" s="92">
        <v>177.28867055852214</v>
      </c>
      <c r="W79" s="92">
        <v>176.85325393462401</v>
      </c>
      <c r="X79" s="92">
        <v>181.18983357544641</v>
      </c>
      <c r="Y79" s="92">
        <v>182.69082372953568</v>
      </c>
      <c r="Z79" s="92">
        <v>187.33560128119382</v>
      </c>
      <c r="AA79" s="92">
        <v>190.51350837907293</v>
      </c>
      <c r="AB79" s="92">
        <v>188.25320034885732</v>
      </c>
      <c r="AC79" s="92">
        <v>189.58681539487816</v>
      </c>
      <c r="AD79" s="92">
        <v>186.4918759603157</v>
      </c>
      <c r="AE79" s="92">
        <v>183.27554958815642</v>
      </c>
      <c r="AF79" s="92">
        <v>182.73460739057981</v>
      </c>
      <c r="AG79" s="92">
        <v>180.60362487401829</v>
      </c>
      <c r="AH79" s="92">
        <v>180.60362487401832</v>
      </c>
      <c r="AI79" s="338">
        <v>162.07097364834422</v>
      </c>
      <c r="AJ79" s="338">
        <f t="shared" si="28"/>
        <v>159.07868266933377</v>
      </c>
      <c r="AK79" s="338">
        <v>156.0863916903233</v>
      </c>
      <c r="AL79" s="338">
        <f t="shared" si="29"/>
        <v>153.09346397827233</v>
      </c>
      <c r="AM79" s="338">
        <f t="shared" si="30"/>
        <v>150.10053626622133</v>
      </c>
      <c r="AN79" s="338">
        <v>147.10760855417035</v>
      </c>
      <c r="AO79" s="338">
        <f t="shared" si="31"/>
        <v>144.61797737659259</v>
      </c>
      <c r="AP79" s="338">
        <v>142.12834619901486</v>
      </c>
    </row>
    <row r="80" spans="1:42" ht="36">
      <c r="A80" s="100" t="s">
        <v>298</v>
      </c>
      <c r="B80" s="92">
        <v>4983.0002722661975</v>
      </c>
      <c r="C80" s="92">
        <v>4870.4328306066418</v>
      </c>
      <c r="D80" s="92">
        <v>4750.0781844947251</v>
      </c>
      <c r="E80" s="92">
        <v>4703.4322254711296</v>
      </c>
      <c r="F80" s="92">
        <v>4700.8868249322131</v>
      </c>
      <c r="G80" s="92">
        <v>4711.8684789274603</v>
      </c>
      <c r="H80" s="92">
        <v>4702.5183999398741</v>
      </c>
      <c r="I80" s="92">
        <v>4658.4469235575725</v>
      </c>
      <c r="J80" s="92">
        <v>4621.8345651152076</v>
      </c>
      <c r="K80" s="92">
        <v>4576.8107629932492</v>
      </c>
      <c r="L80" s="92">
        <v>4566.061595201747</v>
      </c>
      <c r="M80" s="92">
        <v>4487.2000499538017</v>
      </c>
      <c r="N80" s="92">
        <v>4462.7652014657642</v>
      </c>
      <c r="O80" s="92">
        <v>4446.7915157083917</v>
      </c>
      <c r="P80" s="92">
        <v>4409.9318700275962</v>
      </c>
      <c r="Q80" s="92">
        <v>4388.0803366749324</v>
      </c>
      <c r="R80" s="92">
        <v>4298.4123020101297</v>
      </c>
      <c r="S80" s="92">
        <v>4192.9445687128273</v>
      </c>
      <c r="T80" s="92">
        <v>4073.4743453149126</v>
      </c>
      <c r="U80" s="92">
        <v>4063.531899208836</v>
      </c>
      <c r="V80" s="92">
        <v>4075.6891284630283</v>
      </c>
      <c r="W80" s="92">
        <v>3949.097606524047</v>
      </c>
      <c r="X80" s="92">
        <v>3837.7078993081677</v>
      </c>
      <c r="Y80" s="92">
        <v>3741.8693426439122</v>
      </c>
      <c r="Z80" s="92">
        <v>3713.6642402444368</v>
      </c>
      <c r="AA80" s="92">
        <v>3656.9805632929906</v>
      </c>
      <c r="AB80" s="92">
        <v>3620.0092184847763</v>
      </c>
      <c r="AC80" s="92">
        <v>3586.7806237739596</v>
      </c>
      <c r="AD80" s="92">
        <v>3652.0148348792131</v>
      </c>
      <c r="AE80" s="92">
        <v>3618.0600506838155</v>
      </c>
      <c r="AF80" s="92">
        <v>3643.4096305215166</v>
      </c>
      <c r="AG80" s="92">
        <v>3638.1341066995669</v>
      </c>
      <c r="AH80" s="92">
        <v>3638.1341066995669</v>
      </c>
      <c r="AI80" s="338">
        <v>3588.6130483857642</v>
      </c>
      <c r="AJ80" s="338">
        <f t="shared" si="28"/>
        <v>3572.0045174175248</v>
      </c>
      <c r="AK80" s="338">
        <v>3555.3959864492849</v>
      </c>
      <c r="AL80" s="338">
        <f t="shared" si="29"/>
        <v>3538.8487862383913</v>
      </c>
      <c r="AM80" s="338">
        <f t="shared" si="30"/>
        <v>3522.3015860274982</v>
      </c>
      <c r="AN80" s="338">
        <v>3505.7543858166046</v>
      </c>
      <c r="AO80" s="338">
        <f t="shared" si="31"/>
        <v>3489.4294858967423</v>
      </c>
      <c r="AP80" s="338">
        <v>3473.1045859768806</v>
      </c>
    </row>
    <row r="81" spans="1:42">
      <c r="A81" s="116" t="s">
        <v>426</v>
      </c>
      <c r="B81" s="117">
        <v>49548.385922667047</v>
      </c>
      <c r="C81" s="117">
        <v>48763.53221172886</v>
      </c>
      <c r="D81" s="117">
        <v>48167.956790088319</v>
      </c>
      <c r="E81" s="117">
        <v>47857.146750858956</v>
      </c>
      <c r="F81" s="117">
        <v>48095.851161563602</v>
      </c>
      <c r="G81" s="117">
        <v>48383.752326141308</v>
      </c>
      <c r="H81" s="117">
        <v>48467.843050089476</v>
      </c>
      <c r="I81" s="117">
        <v>48088.778124065277</v>
      </c>
      <c r="J81" s="117">
        <v>47971.111069961727</v>
      </c>
      <c r="K81" s="117">
        <v>48057.114345929782</v>
      </c>
      <c r="L81" s="117">
        <v>49799.083695811467</v>
      </c>
      <c r="M81" s="117">
        <v>49896.654639854612</v>
      </c>
      <c r="N81" s="117">
        <v>48900.678018363848</v>
      </c>
      <c r="O81" s="117">
        <v>47569.069348548437</v>
      </c>
      <c r="P81" s="117">
        <v>46968.966691393965</v>
      </c>
      <c r="Q81" s="117">
        <v>46795.894418462696</v>
      </c>
      <c r="R81" s="117">
        <v>46875.657555169702</v>
      </c>
      <c r="S81" s="117">
        <v>47224.538313452336</v>
      </c>
      <c r="T81" s="117">
        <v>47809.52903384791</v>
      </c>
      <c r="U81" s="117">
        <v>47272.987985670647</v>
      </c>
      <c r="V81" s="117">
        <v>46995.727129081308</v>
      </c>
      <c r="W81" s="117">
        <v>46286.598870913775</v>
      </c>
      <c r="X81" s="117">
        <v>45746.746364165614</v>
      </c>
      <c r="Y81" s="117">
        <v>45743.298001892792</v>
      </c>
      <c r="Z81" s="117">
        <v>46287.642924161555</v>
      </c>
      <c r="AA81" s="117">
        <v>46438.082193195369</v>
      </c>
      <c r="AB81" s="117">
        <v>46198.744256753896</v>
      </c>
      <c r="AC81" s="117">
        <v>45676.913360970619</v>
      </c>
      <c r="AD81" s="117">
        <v>45030.511162054958</v>
      </c>
      <c r="AE81" s="117">
        <v>44267.589337192272</v>
      </c>
      <c r="AF81" s="117">
        <v>43589.522786978356</v>
      </c>
      <c r="AG81" s="117">
        <v>42571.084354525308</v>
      </c>
      <c r="AH81" s="117">
        <v>42504.70629334767</v>
      </c>
      <c r="AI81" s="345">
        <v>41702.040431602152</v>
      </c>
      <c r="AJ81" s="345">
        <f>SUM(AJ77:AJ80)</f>
        <v>41063.06237360977</v>
      </c>
      <c r="AK81" s="345">
        <v>40424.084315617394</v>
      </c>
      <c r="AL81" s="345">
        <f t="shared" ref="AL81:AO81" si="32">SUM(AL77:AL80)</f>
        <v>39800.584218783304</v>
      </c>
      <c r="AM81" s="345">
        <f t="shared" si="32"/>
        <v>39177.084121949221</v>
      </c>
      <c r="AN81" s="345">
        <v>38553.584025115139</v>
      </c>
      <c r="AO81" s="345">
        <f t="shared" si="32"/>
        <v>37971.894254725667</v>
      </c>
      <c r="AP81" s="345">
        <v>37390.204484336202</v>
      </c>
    </row>
    <row r="82" spans="1:42" ht="36">
      <c r="A82" s="100" t="s">
        <v>300</v>
      </c>
      <c r="B82" s="92">
        <v>0</v>
      </c>
      <c r="C82" s="92">
        <v>0</v>
      </c>
      <c r="D82" s="92">
        <v>0</v>
      </c>
      <c r="E82" s="92">
        <v>0</v>
      </c>
      <c r="F82" s="92">
        <v>0</v>
      </c>
      <c r="G82" s="92">
        <v>0</v>
      </c>
      <c r="H82" s="92">
        <v>0</v>
      </c>
      <c r="I82" s="92">
        <v>0</v>
      </c>
      <c r="J82" s="92">
        <v>0</v>
      </c>
      <c r="K82" s="92">
        <v>0</v>
      </c>
      <c r="L82" s="92">
        <v>0</v>
      </c>
      <c r="M82" s="92">
        <v>0</v>
      </c>
      <c r="N82" s="92">
        <v>0</v>
      </c>
      <c r="O82" s="92">
        <v>0</v>
      </c>
      <c r="P82" s="92">
        <v>0</v>
      </c>
      <c r="Q82" s="92">
        <v>0</v>
      </c>
      <c r="R82" s="92">
        <v>0</v>
      </c>
      <c r="S82" s="92">
        <v>0</v>
      </c>
      <c r="T82" s="92">
        <v>0</v>
      </c>
      <c r="U82" s="92">
        <v>0</v>
      </c>
      <c r="V82" s="92">
        <v>0</v>
      </c>
      <c r="W82" s="92">
        <v>0</v>
      </c>
      <c r="X82" s="92">
        <v>0</v>
      </c>
      <c r="Y82" s="92">
        <v>0</v>
      </c>
      <c r="Z82" s="92">
        <v>0</v>
      </c>
      <c r="AA82" s="92">
        <v>0</v>
      </c>
      <c r="AB82" s="92">
        <v>0</v>
      </c>
      <c r="AC82" s="92">
        <v>0</v>
      </c>
      <c r="AD82" s="92">
        <v>0</v>
      </c>
      <c r="AE82" s="92">
        <v>0</v>
      </c>
      <c r="AF82" s="92">
        <v>0</v>
      </c>
      <c r="AG82" s="92">
        <v>0</v>
      </c>
      <c r="AH82" s="92">
        <v>0</v>
      </c>
      <c r="AI82" s="338">
        <v>0</v>
      </c>
      <c r="AJ82" s="338">
        <f>AI82+(AK82-AI82)/2</f>
        <v>0</v>
      </c>
      <c r="AK82" s="338">
        <v>0</v>
      </c>
      <c r="AL82" s="338">
        <f>AK82+(AN82-AK82)/3</f>
        <v>0</v>
      </c>
      <c r="AM82" s="338">
        <f>AK82+(AN82-AK82)*2/3</f>
        <v>0</v>
      </c>
      <c r="AN82" s="338">
        <v>0</v>
      </c>
      <c r="AO82" s="338">
        <f>AN82+(AP82-AN82)/2</f>
        <v>0</v>
      </c>
      <c r="AP82" s="338">
        <v>0</v>
      </c>
    </row>
    <row r="83" spans="1:42" ht="36">
      <c r="A83" s="100" t="s">
        <v>427</v>
      </c>
      <c r="B83" s="92">
        <v>0</v>
      </c>
      <c r="C83" s="92">
        <v>0</v>
      </c>
      <c r="D83" s="92">
        <v>0</v>
      </c>
      <c r="E83" s="92">
        <v>0</v>
      </c>
      <c r="F83" s="92">
        <v>0</v>
      </c>
      <c r="G83" s="92">
        <v>0</v>
      </c>
      <c r="H83" s="92">
        <v>0</v>
      </c>
      <c r="I83" s="92">
        <v>0</v>
      </c>
      <c r="J83" s="92">
        <v>0</v>
      </c>
      <c r="K83" s="92">
        <v>0</v>
      </c>
      <c r="L83" s="92">
        <v>0</v>
      </c>
      <c r="M83" s="92">
        <v>0</v>
      </c>
      <c r="N83" s="92">
        <v>0</v>
      </c>
      <c r="O83" s="92">
        <v>0</v>
      </c>
      <c r="P83" s="92">
        <v>0</v>
      </c>
      <c r="Q83" s="92">
        <v>0</v>
      </c>
      <c r="R83" s="92">
        <v>0</v>
      </c>
      <c r="S83" s="92">
        <v>0</v>
      </c>
      <c r="T83" s="92">
        <v>0</v>
      </c>
      <c r="U83" s="92">
        <v>0</v>
      </c>
      <c r="V83" s="92">
        <v>0</v>
      </c>
      <c r="W83" s="92">
        <v>0</v>
      </c>
      <c r="X83" s="92">
        <v>0</v>
      </c>
      <c r="Y83" s="92">
        <v>0</v>
      </c>
      <c r="Z83" s="92">
        <v>0</v>
      </c>
      <c r="AA83" s="92">
        <v>0</v>
      </c>
      <c r="AB83" s="92">
        <v>0</v>
      </c>
      <c r="AC83" s="92">
        <v>0</v>
      </c>
      <c r="AD83" s="92">
        <v>0</v>
      </c>
      <c r="AE83" s="92">
        <v>0</v>
      </c>
      <c r="AF83" s="92">
        <v>0</v>
      </c>
      <c r="AG83" s="92">
        <v>0</v>
      </c>
      <c r="AH83" s="92">
        <v>0</v>
      </c>
      <c r="AI83" s="338">
        <v>0</v>
      </c>
      <c r="AJ83" s="338">
        <f>AI83+(AK83-AI83)/2</f>
        <v>0</v>
      </c>
      <c r="AK83" s="338">
        <v>0</v>
      </c>
      <c r="AL83" s="338">
        <f>AK83+(AN83-AK83)/3</f>
        <v>0</v>
      </c>
      <c r="AM83" s="338">
        <f>AK83+(AN83-AK83)*2/3</f>
        <v>0</v>
      </c>
      <c r="AN83" s="338">
        <v>0</v>
      </c>
      <c r="AO83" s="338">
        <f>AN83+(AP83-AN83)/2</f>
        <v>0</v>
      </c>
      <c r="AP83" s="338">
        <v>0</v>
      </c>
    </row>
    <row r="84" spans="1:42">
      <c r="A84" s="100" t="s">
        <v>428</v>
      </c>
      <c r="B84" s="92">
        <v>0</v>
      </c>
      <c r="C84" s="92">
        <v>0</v>
      </c>
      <c r="D84" s="92">
        <v>0</v>
      </c>
      <c r="E84" s="92">
        <v>0</v>
      </c>
      <c r="F84" s="92">
        <v>0</v>
      </c>
      <c r="G84" s="92">
        <v>0</v>
      </c>
      <c r="H84" s="92">
        <v>0</v>
      </c>
      <c r="I84" s="92">
        <v>0</v>
      </c>
      <c r="J84" s="92">
        <v>0</v>
      </c>
      <c r="K84" s="92">
        <v>0</v>
      </c>
      <c r="L84" s="92">
        <v>0</v>
      </c>
      <c r="M84" s="92">
        <v>0</v>
      </c>
      <c r="N84" s="92">
        <v>0</v>
      </c>
      <c r="O84" s="92">
        <v>0</v>
      </c>
      <c r="P84" s="92">
        <v>0</v>
      </c>
      <c r="Q84" s="92">
        <v>0</v>
      </c>
      <c r="R84" s="92">
        <v>0</v>
      </c>
      <c r="S84" s="92">
        <v>0</v>
      </c>
      <c r="T84" s="92">
        <v>0</v>
      </c>
      <c r="U84" s="92">
        <v>0</v>
      </c>
      <c r="V84" s="92">
        <v>0</v>
      </c>
      <c r="W84" s="92">
        <v>0</v>
      </c>
      <c r="X84" s="92">
        <v>0</v>
      </c>
      <c r="Y84" s="92">
        <v>0</v>
      </c>
      <c r="Z84" s="92">
        <v>0</v>
      </c>
      <c r="AA84" s="92">
        <v>0</v>
      </c>
      <c r="AB84" s="92">
        <v>0</v>
      </c>
      <c r="AC84" s="92">
        <v>0</v>
      </c>
      <c r="AD84" s="92">
        <v>0</v>
      </c>
      <c r="AE84" s="92">
        <v>0</v>
      </c>
      <c r="AF84" s="92">
        <v>0</v>
      </c>
      <c r="AG84" s="92">
        <v>0</v>
      </c>
      <c r="AH84" s="92">
        <v>0</v>
      </c>
      <c r="AI84" s="338">
        <v>0</v>
      </c>
      <c r="AJ84" s="338">
        <f t="shared" ref="AJ84:AJ86" si="33">AI84+(AK84-AI84)/2</f>
        <v>0</v>
      </c>
      <c r="AK84" s="338">
        <v>0</v>
      </c>
      <c r="AL84" s="338">
        <f t="shared" ref="AL84:AL86" si="34">AK84+(AN84-AK84)/3</f>
        <v>0</v>
      </c>
      <c r="AM84" s="338">
        <f t="shared" ref="AM84:AM86" si="35">AK84+(AN84-AK84)*2/3</f>
        <v>0</v>
      </c>
      <c r="AN84" s="338">
        <v>0</v>
      </c>
      <c r="AO84" s="338">
        <f t="shared" ref="AO84:AO86" si="36">AN84+(AP84-AN84)/2</f>
        <v>0</v>
      </c>
      <c r="AP84" s="338">
        <v>0</v>
      </c>
    </row>
    <row r="85" spans="1:42" ht="36">
      <c r="A85" s="100" t="s">
        <v>429</v>
      </c>
      <c r="B85" s="92">
        <v>77.5265027760138</v>
      </c>
      <c r="C85" s="92">
        <v>79.568193284451809</v>
      </c>
      <c r="D85" s="92">
        <v>80.002439901819827</v>
      </c>
      <c r="E85" s="92">
        <v>76.883585335334018</v>
      </c>
      <c r="F85" s="92">
        <v>78.355052347320409</v>
      </c>
      <c r="G85" s="92">
        <v>76.649809410638596</v>
      </c>
      <c r="H85" s="92">
        <v>81.371534280374149</v>
      </c>
      <c r="I85" s="92">
        <v>81.014524300110992</v>
      </c>
      <c r="J85" s="92">
        <v>84.691416723219348</v>
      </c>
      <c r="K85" s="92">
        <v>83.056369331482813</v>
      </c>
      <c r="L85" s="92">
        <v>83.342310108062634</v>
      </c>
      <c r="M85" s="92">
        <v>71.820821853925764</v>
      </c>
      <c r="N85" s="92">
        <v>72.311479565246898</v>
      </c>
      <c r="O85" s="92">
        <v>59.415706183289728</v>
      </c>
      <c r="P85" s="92">
        <v>61.294108347053879</v>
      </c>
      <c r="Q85" s="92">
        <v>53.283781934104496</v>
      </c>
      <c r="R85" s="92">
        <v>52.013989163681217</v>
      </c>
      <c r="S85" s="92">
        <v>49.111754259308107</v>
      </c>
      <c r="T85" s="92">
        <v>51.612314066088459</v>
      </c>
      <c r="U85" s="92">
        <v>51.294598461900769</v>
      </c>
      <c r="V85" s="92">
        <v>47.822505975917856</v>
      </c>
      <c r="W85" s="92">
        <v>45.352071752946607</v>
      </c>
      <c r="X85" s="92">
        <v>43.783961633613664</v>
      </c>
      <c r="Y85" s="92">
        <v>38.033495106868742</v>
      </c>
      <c r="Z85" s="92">
        <v>36.748283361118389</v>
      </c>
      <c r="AA85" s="92">
        <v>35.278837035452398</v>
      </c>
      <c r="AB85" s="92">
        <v>28.869352862542417</v>
      </c>
      <c r="AC85" s="92">
        <v>31.985640000699711</v>
      </c>
      <c r="AD85" s="92">
        <v>28.913225989863363</v>
      </c>
      <c r="AE85" s="92">
        <v>30.854970876574978</v>
      </c>
      <c r="AF85" s="92">
        <v>26.988485176278715</v>
      </c>
      <c r="AG85" s="92">
        <v>28.1312458356836</v>
      </c>
      <c r="AH85" s="92">
        <v>28.1312458356836</v>
      </c>
      <c r="AI85" s="338">
        <v>26.560793139696106</v>
      </c>
      <c r="AJ85" s="338">
        <f t="shared" si="33"/>
        <v>26.418229127501903</v>
      </c>
      <c r="AK85" s="338">
        <v>26.275665115307696</v>
      </c>
      <c r="AL85" s="338">
        <f t="shared" si="34"/>
        <v>26.133101103113493</v>
      </c>
      <c r="AM85" s="338">
        <f t="shared" si="35"/>
        <v>25.990537090919293</v>
      </c>
      <c r="AN85" s="338">
        <v>25.84797307872509</v>
      </c>
      <c r="AO85" s="338">
        <f t="shared" si="36"/>
        <v>25.705409066530887</v>
      </c>
      <c r="AP85" s="338">
        <v>25.562845054336684</v>
      </c>
    </row>
    <row r="86" spans="1:42" ht="36">
      <c r="A86" s="100" t="s">
        <v>430</v>
      </c>
      <c r="B86" s="92">
        <v>65.410531196522641</v>
      </c>
      <c r="C86" s="92">
        <v>71.33013257344119</v>
      </c>
      <c r="D86" s="92">
        <v>82.40247569219666</v>
      </c>
      <c r="E86" s="92">
        <v>91.363770549726382</v>
      </c>
      <c r="F86" s="92">
        <v>97.431944118180112</v>
      </c>
      <c r="G86" s="92">
        <v>92.632679102436541</v>
      </c>
      <c r="H86" s="92">
        <v>83.938381379360948</v>
      </c>
      <c r="I86" s="92">
        <v>80.863634661520109</v>
      </c>
      <c r="J86" s="92">
        <v>75.767038904758792</v>
      </c>
      <c r="K86" s="92">
        <v>72.484160668205547</v>
      </c>
      <c r="L86" s="92">
        <v>78.486921473635405</v>
      </c>
      <c r="M86" s="92">
        <v>76.329411802694153</v>
      </c>
      <c r="N86" s="92">
        <v>72.219652915495402</v>
      </c>
      <c r="O86" s="92">
        <v>70.705508207200765</v>
      </c>
      <c r="P86" s="92">
        <v>79.834857684937603</v>
      </c>
      <c r="Q86" s="92">
        <v>70.959739188147068</v>
      </c>
      <c r="R86" s="92">
        <v>62.78007899988507</v>
      </c>
      <c r="S86" s="92">
        <v>57.470721819255438</v>
      </c>
      <c r="T86" s="92">
        <v>54.320339941508017</v>
      </c>
      <c r="U86" s="92">
        <v>66.125347782556275</v>
      </c>
      <c r="V86" s="92">
        <v>65.92525556738461</v>
      </c>
      <c r="W86" s="92">
        <v>66.907324689717896</v>
      </c>
      <c r="X86" s="92">
        <v>63.925791272971324</v>
      </c>
      <c r="Y86" s="92">
        <v>58.86261846384636</v>
      </c>
      <c r="Z86" s="92">
        <v>47.301212778263164</v>
      </c>
      <c r="AA86" s="92">
        <v>45.771885357649843</v>
      </c>
      <c r="AB86" s="92">
        <v>47.190198497456528</v>
      </c>
      <c r="AC86" s="92">
        <v>48.295464825011436</v>
      </c>
      <c r="AD86" s="92">
        <v>38.335578109708464</v>
      </c>
      <c r="AE86" s="92">
        <v>43.812734564509107</v>
      </c>
      <c r="AF86" s="92">
        <v>42.944528800737395</v>
      </c>
      <c r="AG86" s="92">
        <v>36.147493743427759</v>
      </c>
      <c r="AH86" s="92">
        <v>36.147493743427759</v>
      </c>
      <c r="AI86" s="338">
        <v>42.719406229467609</v>
      </c>
      <c r="AJ86" s="338">
        <f t="shared" si="33"/>
        <v>42.644365372377678</v>
      </c>
      <c r="AK86" s="338">
        <v>42.569324515287754</v>
      </c>
      <c r="AL86" s="338">
        <f t="shared" si="34"/>
        <v>42.494283658197823</v>
      </c>
      <c r="AM86" s="338">
        <f t="shared" si="35"/>
        <v>42.419242801107899</v>
      </c>
      <c r="AN86" s="338">
        <v>42.344201944017968</v>
      </c>
      <c r="AO86" s="338">
        <f t="shared" si="36"/>
        <v>42.269161086928037</v>
      </c>
      <c r="AP86" s="338">
        <v>42.194120229838106</v>
      </c>
    </row>
    <row r="87" spans="1:42">
      <c r="A87" s="116" t="s">
        <v>431</v>
      </c>
      <c r="B87" s="117">
        <v>142.93703397253643</v>
      </c>
      <c r="C87" s="117">
        <v>150.89832585789298</v>
      </c>
      <c r="D87" s="117">
        <v>162.40491559401647</v>
      </c>
      <c r="E87" s="117">
        <v>168.24735588506041</v>
      </c>
      <c r="F87" s="117">
        <v>175.78699646550052</v>
      </c>
      <c r="G87" s="117">
        <v>169.28248851307512</v>
      </c>
      <c r="H87" s="117">
        <v>165.30991565973511</v>
      </c>
      <c r="I87" s="117">
        <v>161.8781589616311</v>
      </c>
      <c r="J87" s="117">
        <v>160.45845562797814</v>
      </c>
      <c r="K87" s="117">
        <v>155.54052999968837</v>
      </c>
      <c r="L87" s="117">
        <v>161.82923158169802</v>
      </c>
      <c r="M87" s="117">
        <v>148.15023365661992</v>
      </c>
      <c r="N87" s="117">
        <v>144.53113248074231</v>
      </c>
      <c r="O87" s="117">
        <v>130.12121439049048</v>
      </c>
      <c r="P87" s="117">
        <v>141.12896603199147</v>
      </c>
      <c r="Q87" s="117">
        <v>124.24352112225156</v>
      </c>
      <c r="R87" s="117">
        <v>114.79406816356629</v>
      </c>
      <c r="S87" s="117">
        <v>106.58247607856354</v>
      </c>
      <c r="T87" s="117">
        <v>105.93265400759648</v>
      </c>
      <c r="U87" s="117">
        <v>117.41994624445704</v>
      </c>
      <c r="V87" s="117">
        <v>113.74776154330246</v>
      </c>
      <c r="W87" s="117">
        <v>112.2593964426645</v>
      </c>
      <c r="X87" s="117">
        <v>107.70975290658498</v>
      </c>
      <c r="Y87" s="117">
        <v>96.896113570715102</v>
      </c>
      <c r="Z87" s="117">
        <v>84.049496139381546</v>
      </c>
      <c r="AA87" s="117">
        <v>81.050722393102234</v>
      </c>
      <c r="AB87" s="117">
        <v>76.059551359998949</v>
      </c>
      <c r="AC87" s="117">
        <v>80.281104825711139</v>
      </c>
      <c r="AD87" s="117">
        <v>67.248804099571828</v>
      </c>
      <c r="AE87" s="117">
        <v>74.667705441084081</v>
      </c>
      <c r="AF87" s="117">
        <v>69.933013977016117</v>
      </c>
      <c r="AG87" s="117">
        <v>64.27873957911136</v>
      </c>
      <c r="AH87" s="117">
        <v>64.27873957911136</v>
      </c>
      <c r="AI87" s="345">
        <v>69.280199369163711</v>
      </c>
      <c r="AJ87" s="345">
        <f>SUM(AJ82:AJ86)</f>
        <v>69.06259449987958</v>
      </c>
      <c r="AK87" s="345">
        <v>68.84498963059545</v>
      </c>
      <c r="AL87" s="345">
        <f t="shared" ref="AL87:AO87" si="37">SUM(AL82:AL86)</f>
        <v>68.627384761311319</v>
      </c>
      <c r="AM87" s="345">
        <f t="shared" si="37"/>
        <v>68.409779892027188</v>
      </c>
      <c r="AN87" s="345">
        <v>68.192175022743072</v>
      </c>
      <c r="AO87" s="345">
        <f t="shared" si="37"/>
        <v>67.974570153458927</v>
      </c>
      <c r="AP87" s="345">
        <v>67.756965284174797</v>
      </c>
    </row>
    <row r="88" spans="1:42" ht="36">
      <c r="A88" s="100" t="s">
        <v>432</v>
      </c>
      <c r="B88" s="92">
        <v>18.748745927456795</v>
      </c>
      <c r="C88" s="92">
        <v>18.71448511950716</v>
      </c>
      <c r="D88" s="92">
        <v>19.40502840642533</v>
      </c>
      <c r="E88" s="92">
        <v>19.12809308494089</v>
      </c>
      <c r="F88" s="92">
        <v>18.741731131040599</v>
      </c>
      <c r="G88" s="92">
        <v>18.256372449932499</v>
      </c>
      <c r="H88" s="92">
        <v>18.916736711572781</v>
      </c>
      <c r="I88" s="92">
        <v>18.659377132125378</v>
      </c>
      <c r="J88" s="92">
        <v>18.494597195993844</v>
      </c>
      <c r="K88" s="92">
        <v>18.514715053587341</v>
      </c>
      <c r="L88" s="92">
        <v>18.757599898089794</v>
      </c>
      <c r="M88" s="92">
        <v>18.126293035926533</v>
      </c>
      <c r="N88" s="92">
        <v>16.779839005910148</v>
      </c>
      <c r="O88" s="92">
        <v>15.922480732686891</v>
      </c>
      <c r="P88" s="92">
        <v>16.61339682767191</v>
      </c>
      <c r="Q88" s="92">
        <v>16.117305009582708</v>
      </c>
      <c r="R88" s="92">
        <v>15.552089585958086</v>
      </c>
      <c r="S88" s="92">
        <v>14.603859135072746</v>
      </c>
      <c r="T88" s="92">
        <v>14.467389474161564</v>
      </c>
      <c r="U88" s="92">
        <v>14.020734055604224</v>
      </c>
      <c r="V88" s="92">
        <v>13.854381003775757</v>
      </c>
      <c r="W88" s="92">
        <v>12.548286968806945</v>
      </c>
      <c r="X88" s="92">
        <v>12.175878981924663</v>
      </c>
      <c r="Y88" s="92">
        <v>12.03671561347708</v>
      </c>
      <c r="Z88" s="92">
        <v>11.36344927391581</v>
      </c>
      <c r="AA88" s="92">
        <v>10.79885722150679</v>
      </c>
      <c r="AB88" s="92">
        <v>9.9113829362793879</v>
      </c>
      <c r="AC88" s="92">
        <v>9.7835847588337703</v>
      </c>
      <c r="AD88" s="92">
        <v>10.064927939448694</v>
      </c>
      <c r="AE88" s="92">
        <v>10.09682773837914</v>
      </c>
      <c r="AF88" s="92">
        <v>10.527602660874013</v>
      </c>
      <c r="AG88" s="92">
        <v>10.677138845457893</v>
      </c>
      <c r="AH88" s="92">
        <v>10.792649519257237</v>
      </c>
      <c r="AI88" s="425">
        <v>12.710683057660818</v>
      </c>
      <c r="AJ88" s="423">
        <f>AJ90</f>
        <v>12.663849553051929</v>
      </c>
      <c r="AK88" s="425">
        <v>12.617016048443039</v>
      </c>
      <c r="AL88" s="423">
        <f>AL90</f>
        <v>12.565219645410538</v>
      </c>
      <c r="AM88" s="423">
        <f>AM90</f>
        <v>12.513423242378039</v>
      </c>
      <c r="AN88" s="423">
        <v>12.461626839345538</v>
      </c>
      <c r="AO88" s="423">
        <f>AO90</f>
        <v>12.409033075848159</v>
      </c>
      <c r="AP88" s="423">
        <v>12.35643931235078</v>
      </c>
    </row>
    <row r="89" spans="1:42" ht="36">
      <c r="A89" s="100" t="s">
        <v>433</v>
      </c>
      <c r="B89" s="92">
        <v>2.6110309926403259</v>
      </c>
      <c r="C89" s="92">
        <v>2.6431148508968629</v>
      </c>
      <c r="D89" s="92">
        <v>2.6761974161073563</v>
      </c>
      <c r="E89" s="92">
        <v>2.4548170670491194</v>
      </c>
      <c r="F89" s="92">
        <v>2.5515244739049723</v>
      </c>
      <c r="G89" s="92">
        <v>2.2548042351673696</v>
      </c>
      <c r="H89" s="92">
        <v>2.286244053611056</v>
      </c>
      <c r="I89" s="92">
        <v>2.3191460236353785</v>
      </c>
      <c r="J89" s="92">
        <v>1.9876080962200087</v>
      </c>
      <c r="K89" s="92">
        <v>1.9863399366263423</v>
      </c>
      <c r="L89" s="92">
        <v>1.9854465024569525</v>
      </c>
      <c r="M89" s="92">
        <v>1.6424779535747827</v>
      </c>
      <c r="N89" s="92">
        <v>1.6337616199436054</v>
      </c>
      <c r="O89" s="92">
        <v>1.6231490331623395</v>
      </c>
      <c r="P89" s="92">
        <v>1.7592635224959514</v>
      </c>
      <c r="Q89" s="92">
        <v>1.8800371917509271</v>
      </c>
      <c r="R89" s="92">
        <v>2.0065763806412349</v>
      </c>
      <c r="S89" s="92">
        <v>1.8787812789515301</v>
      </c>
      <c r="T89" s="92">
        <v>1.9110533601456912</v>
      </c>
      <c r="U89" s="92">
        <v>1.9683148310215088</v>
      </c>
      <c r="V89" s="92">
        <v>2.161190857910591</v>
      </c>
      <c r="W89" s="92">
        <v>1.8692685109840446</v>
      </c>
      <c r="X89" s="92">
        <v>1.8541098006255015</v>
      </c>
      <c r="Y89" s="92">
        <v>1.8482402620268985</v>
      </c>
      <c r="Z89" s="92">
        <v>1.845101266773808</v>
      </c>
      <c r="AA89" s="92">
        <v>1.9092831353223456</v>
      </c>
      <c r="AB89" s="92">
        <v>1.826652143414798</v>
      </c>
      <c r="AC89" s="92">
        <v>1.9009151399659512</v>
      </c>
      <c r="AD89" s="92">
        <v>1.9633283067342606</v>
      </c>
      <c r="AE89" s="92">
        <v>1.9322789272970922</v>
      </c>
      <c r="AF89" s="92">
        <v>2.0019315681808609</v>
      </c>
      <c r="AG89" s="92">
        <v>2.0431706750613619</v>
      </c>
      <c r="AH89" s="92">
        <v>2.2535054860003338</v>
      </c>
      <c r="AI89" s="425"/>
      <c r="AJ89" s="424"/>
      <c r="AK89" s="425"/>
      <c r="AL89" s="424"/>
      <c r="AM89" s="424"/>
      <c r="AN89" s="424"/>
      <c r="AO89" s="424"/>
      <c r="AP89" s="424"/>
    </row>
    <row r="90" spans="1:42">
      <c r="A90" s="116" t="s">
        <v>434</v>
      </c>
      <c r="B90" s="117">
        <v>21.359776920097122</v>
      </c>
      <c r="C90" s="117">
        <v>21.357599970404024</v>
      </c>
      <c r="D90" s="117">
        <v>22.081225822532687</v>
      </c>
      <c r="E90" s="117">
        <v>21.58291015199001</v>
      </c>
      <c r="F90" s="117">
        <v>21.293255604945571</v>
      </c>
      <c r="G90" s="117">
        <v>20.511176685099869</v>
      </c>
      <c r="H90" s="117">
        <v>21.202980765183838</v>
      </c>
      <c r="I90" s="117">
        <v>20.978523155760758</v>
      </c>
      <c r="J90" s="117">
        <v>20.482205292213852</v>
      </c>
      <c r="K90" s="117">
        <v>20.501054990213685</v>
      </c>
      <c r="L90" s="117">
        <v>20.743046400546746</v>
      </c>
      <c r="M90" s="117">
        <v>19.768770989501316</v>
      </c>
      <c r="N90" s="117">
        <v>18.413600625853753</v>
      </c>
      <c r="O90" s="117">
        <v>17.545629765849231</v>
      </c>
      <c r="P90" s="117">
        <v>18.372660350167862</v>
      </c>
      <c r="Q90" s="117">
        <v>17.997342201333634</v>
      </c>
      <c r="R90" s="117">
        <v>17.558665966599321</v>
      </c>
      <c r="S90" s="117">
        <v>16.482640414024274</v>
      </c>
      <c r="T90" s="117">
        <v>16.378442834307254</v>
      </c>
      <c r="U90" s="117">
        <v>15.989048886625733</v>
      </c>
      <c r="V90" s="117">
        <v>16.015571861686347</v>
      </c>
      <c r="W90" s="117">
        <v>14.417555479790989</v>
      </c>
      <c r="X90" s="117">
        <v>14.029988782550165</v>
      </c>
      <c r="Y90" s="117">
        <v>13.884955875503978</v>
      </c>
      <c r="Z90" s="117">
        <v>13.208550540689618</v>
      </c>
      <c r="AA90" s="117">
        <v>12.708140356829135</v>
      </c>
      <c r="AB90" s="117">
        <v>11.738035079694185</v>
      </c>
      <c r="AC90" s="117">
        <v>11.684499898799722</v>
      </c>
      <c r="AD90" s="117">
        <v>12.028256246182954</v>
      </c>
      <c r="AE90" s="117">
        <v>12.029106665676233</v>
      </c>
      <c r="AF90" s="117">
        <v>12.529534229054875</v>
      </c>
      <c r="AG90" s="117">
        <v>12.720309520519255</v>
      </c>
      <c r="AH90" s="117">
        <v>13.046155005257571</v>
      </c>
      <c r="AI90" s="346">
        <f>AI88</f>
        <v>12.710683057660818</v>
      </c>
      <c r="AJ90" s="338">
        <f>AI90+(AK90-AI90)/2</f>
        <v>12.663849553051929</v>
      </c>
      <c r="AK90" s="346">
        <f t="shared" ref="AK90:AP90" si="38">AK88</f>
        <v>12.617016048443039</v>
      </c>
      <c r="AL90" s="338">
        <f>AK90+(AN90-AK90)/3</f>
        <v>12.565219645410538</v>
      </c>
      <c r="AM90" s="338">
        <f>AK90+(AN90-AK90)*2/3</f>
        <v>12.513423242378039</v>
      </c>
      <c r="AN90" s="346">
        <f t="shared" si="38"/>
        <v>12.461626839345538</v>
      </c>
      <c r="AO90" s="338">
        <f>AN90+(AP90-AN90)/2</f>
        <v>12.409033075848159</v>
      </c>
      <c r="AP90" s="346">
        <f t="shared" si="38"/>
        <v>12.35643931235078</v>
      </c>
    </row>
    <row r="91" spans="1:42">
      <c r="A91" s="118" t="s">
        <v>435</v>
      </c>
      <c r="B91" s="119">
        <v>49712.682733559683</v>
      </c>
      <c r="C91" s="119">
        <v>48935.78813755716</v>
      </c>
      <c r="D91" s="119">
        <v>48352.442931504869</v>
      </c>
      <c r="E91" s="119">
        <v>48046.977016896009</v>
      </c>
      <c r="F91" s="119">
        <v>48292.931413634054</v>
      </c>
      <c r="G91" s="119">
        <v>48573.545991339481</v>
      </c>
      <c r="H91" s="119">
        <v>48654.355946514399</v>
      </c>
      <c r="I91" s="119">
        <v>48271.634806182672</v>
      </c>
      <c r="J91" s="119">
        <v>48152.051730881925</v>
      </c>
      <c r="K91" s="119">
        <v>48233.155930919682</v>
      </c>
      <c r="L91" s="119">
        <v>49981.655973793713</v>
      </c>
      <c r="M91" s="119">
        <v>50064.573644500735</v>
      </c>
      <c r="N91" s="119">
        <v>49063.622751470444</v>
      </c>
      <c r="O91" s="119">
        <v>47716.736192704775</v>
      </c>
      <c r="P91" s="119">
        <v>47128.468317776125</v>
      </c>
      <c r="Q91" s="119">
        <v>46938.135281786286</v>
      </c>
      <c r="R91" s="119">
        <v>47008.010289299869</v>
      </c>
      <c r="S91" s="119">
        <v>47347.603429944924</v>
      </c>
      <c r="T91" s="119">
        <v>47931.840130689816</v>
      </c>
      <c r="U91" s="119">
        <v>47406.396980801728</v>
      </c>
      <c r="V91" s="119">
        <v>47125.490462486297</v>
      </c>
      <c r="W91" s="119">
        <v>46413.275822836229</v>
      </c>
      <c r="X91" s="119">
        <v>45868.486105854754</v>
      </c>
      <c r="Y91" s="119">
        <v>45854.079071339009</v>
      </c>
      <c r="Z91" s="119">
        <v>46384.900970841627</v>
      </c>
      <c r="AA91" s="119">
        <v>46531.841055945304</v>
      </c>
      <c r="AB91" s="119">
        <v>46286.54184319359</v>
      </c>
      <c r="AC91" s="119">
        <v>45768.878965695134</v>
      </c>
      <c r="AD91" s="119">
        <v>45109.788222400712</v>
      </c>
      <c r="AE91" s="119">
        <v>44354.286149299034</v>
      </c>
      <c r="AF91" s="119">
        <v>43671.985335184429</v>
      </c>
      <c r="AG91" s="119">
        <v>42648.083403624936</v>
      </c>
      <c r="AH91" s="119">
        <v>42582.031187932036</v>
      </c>
      <c r="AI91" s="347">
        <v>41784.03131402898</v>
      </c>
      <c r="AJ91" s="347">
        <f>SUM(AJ81,AJ87,AJ90)</f>
        <v>41144.788817662702</v>
      </c>
      <c r="AK91" s="347">
        <v>40505.546321296431</v>
      </c>
      <c r="AL91" s="347">
        <f t="shared" ref="AL91:AP91" si="39">SUM(AL81,AL87,AL90)</f>
        <v>39881.776823190026</v>
      </c>
      <c r="AM91" s="347">
        <f t="shared" si="39"/>
        <v>39258.007325083629</v>
      </c>
      <c r="AN91" s="347">
        <f t="shared" si="39"/>
        <v>38634.237826977223</v>
      </c>
      <c r="AO91" s="347">
        <f t="shared" si="39"/>
        <v>38052.27785795497</v>
      </c>
      <c r="AP91" s="347">
        <f t="shared" si="39"/>
        <v>37470.317888932732</v>
      </c>
    </row>
    <row r="92" spans="1:42">
      <c r="A92" s="120"/>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row>
    <row r="93" spans="1:42">
      <c r="A93" s="122" t="s">
        <v>54</v>
      </c>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428" t="s">
        <v>393</v>
      </c>
      <c r="AJ93" s="428"/>
      <c r="AK93" s="428"/>
      <c r="AL93" s="428"/>
      <c r="AM93" s="428"/>
      <c r="AN93" s="428"/>
      <c r="AO93" s="428"/>
      <c r="AP93" s="428"/>
    </row>
    <row r="94" spans="1:42" ht="105.6">
      <c r="A94" s="75" t="s">
        <v>481</v>
      </c>
      <c r="B94" s="76">
        <v>1990</v>
      </c>
      <c r="C94" s="76">
        <v>1991</v>
      </c>
      <c r="D94" s="76">
        <v>1992</v>
      </c>
      <c r="E94" s="76">
        <v>1993</v>
      </c>
      <c r="F94" s="76">
        <v>1994</v>
      </c>
      <c r="G94" s="76">
        <v>1995</v>
      </c>
      <c r="H94" s="76">
        <v>1996</v>
      </c>
      <c r="I94" s="76">
        <v>1997</v>
      </c>
      <c r="J94" s="76">
        <v>1998</v>
      </c>
      <c r="K94" s="76">
        <v>1999</v>
      </c>
      <c r="L94" s="76">
        <v>2000</v>
      </c>
      <c r="M94" s="76">
        <v>2001</v>
      </c>
      <c r="N94" s="76">
        <v>2002</v>
      </c>
      <c r="O94" s="76">
        <v>2003</v>
      </c>
      <c r="P94" s="76">
        <v>2004</v>
      </c>
      <c r="Q94" s="76">
        <v>2005</v>
      </c>
      <c r="R94" s="76">
        <v>2006</v>
      </c>
      <c r="S94" s="76">
        <v>2007</v>
      </c>
      <c r="T94" s="76">
        <v>2008</v>
      </c>
      <c r="U94" s="76">
        <v>2009</v>
      </c>
      <c r="V94" s="76">
        <v>2010</v>
      </c>
      <c r="W94" s="76">
        <v>2011</v>
      </c>
      <c r="X94" s="76">
        <v>2012</v>
      </c>
      <c r="Y94" s="76">
        <v>2013</v>
      </c>
      <c r="Z94" s="76">
        <v>2014</v>
      </c>
      <c r="AA94" s="76">
        <v>2015</v>
      </c>
      <c r="AB94" s="76">
        <v>2016</v>
      </c>
      <c r="AC94" s="76">
        <v>2017</v>
      </c>
      <c r="AD94" s="76">
        <v>2018</v>
      </c>
      <c r="AE94" s="76">
        <v>2019</v>
      </c>
      <c r="AF94" s="76">
        <v>2020</v>
      </c>
      <c r="AG94" s="77">
        <v>2021</v>
      </c>
      <c r="AH94" s="77" t="s">
        <v>395</v>
      </c>
      <c r="AI94" s="76">
        <v>2023</v>
      </c>
      <c r="AJ94" s="152">
        <v>2024</v>
      </c>
      <c r="AK94" s="76">
        <v>2025</v>
      </c>
      <c r="AL94" s="152">
        <v>2026</v>
      </c>
      <c r="AM94" s="152">
        <v>2027</v>
      </c>
      <c r="AN94" s="76">
        <v>2028</v>
      </c>
      <c r="AO94" s="152">
        <v>2029</v>
      </c>
      <c r="AP94" s="76">
        <v>2030</v>
      </c>
    </row>
    <row r="95" spans="1:42">
      <c r="A95" s="100" t="s">
        <v>436</v>
      </c>
      <c r="B95" s="92">
        <v>31.752936439567353</v>
      </c>
      <c r="C95" s="92">
        <v>35.228024943639092</v>
      </c>
      <c r="D95" s="92">
        <v>38.77043224659802</v>
      </c>
      <c r="E95" s="92">
        <v>41.378614353788898</v>
      </c>
      <c r="F95" s="92">
        <v>43.463978431027826</v>
      </c>
      <c r="G95" s="92">
        <v>47.231150811925666</v>
      </c>
      <c r="H95" s="92">
        <v>48.978142986482553</v>
      </c>
      <c r="I95" s="92">
        <v>48.800406214289318</v>
      </c>
      <c r="J95" s="92">
        <v>47.490367392234532</v>
      </c>
      <c r="K95" s="92">
        <v>46.057840814424459</v>
      </c>
      <c r="L95" s="92">
        <v>43.028359099219358</v>
      </c>
      <c r="M95" s="92">
        <v>42.60739926565418</v>
      </c>
      <c r="N95" s="92">
        <v>39.859367490368349</v>
      </c>
      <c r="O95" s="92">
        <v>37.844649079143288</v>
      </c>
      <c r="P95" s="92">
        <v>34.860903951669599</v>
      </c>
      <c r="Q95" s="92">
        <v>31.840465667478909</v>
      </c>
      <c r="R95" s="92">
        <v>29.23197890137418</v>
      </c>
      <c r="S95" s="92">
        <v>26.742385900480642</v>
      </c>
      <c r="T95" s="92">
        <v>23.789062993303933</v>
      </c>
      <c r="U95" s="92">
        <v>21.87718021125588</v>
      </c>
      <c r="V95" s="92">
        <v>19.92826557333224</v>
      </c>
      <c r="W95" s="92">
        <v>17.474909146323679</v>
      </c>
      <c r="X95" s="92">
        <v>15.365534426841959</v>
      </c>
      <c r="Y95" s="92">
        <v>13.25000155790659</v>
      </c>
      <c r="Z95" s="92">
        <v>11.569206897969057</v>
      </c>
      <c r="AA95" s="92">
        <v>10.2074286152779</v>
      </c>
      <c r="AB95" s="92">
        <v>8.8565116903971841</v>
      </c>
      <c r="AC95" s="92">
        <v>7.6045891180146441</v>
      </c>
      <c r="AD95" s="92">
        <v>6.2374878978887347</v>
      </c>
      <c r="AE95" s="92">
        <v>5.0214085184420671</v>
      </c>
      <c r="AF95" s="92">
        <v>3.4155985639768671</v>
      </c>
      <c r="AG95" s="92">
        <v>3.181940166618459</v>
      </c>
      <c r="AH95" s="92">
        <v>2.7905862219829278</v>
      </c>
      <c r="AI95" s="338">
        <v>1.9804203318589044</v>
      </c>
      <c r="AJ95" s="338">
        <f>AI95+(AK95-AI95)/2</f>
        <v>1.6089016421057873</v>
      </c>
      <c r="AK95" s="338">
        <v>1.2373829523526703</v>
      </c>
      <c r="AL95" s="338">
        <f>AK95+(AN95-AK95)/3</f>
        <v>1.0744054135008818</v>
      </c>
      <c r="AM95" s="338">
        <f>AK95+(AN95-AK95)*2/3</f>
        <v>0.91142787464909314</v>
      </c>
      <c r="AN95" s="338">
        <v>0.74845033579730469</v>
      </c>
      <c r="AO95" s="338">
        <f>AN95+(AP95-AN95)/2</f>
        <v>0.64264986816235092</v>
      </c>
      <c r="AP95" s="338">
        <v>0.53684940052739727</v>
      </c>
    </row>
    <row r="96" spans="1:42">
      <c r="A96" s="100" t="s">
        <v>437</v>
      </c>
      <c r="B96" s="92">
        <v>773.38705318867653</v>
      </c>
      <c r="C96" s="92">
        <v>765.51530209542511</v>
      </c>
      <c r="D96" s="92">
        <v>770.26517975572813</v>
      </c>
      <c r="E96" s="92">
        <v>721.59555703266483</v>
      </c>
      <c r="F96" s="92">
        <v>647.56455034605756</v>
      </c>
      <c r="G96" s="92">
        <v>589.84054459656693</v>
      </c>
      <c r="H96" s="92">
        <v>529.89228075266089</v>
      </c>
      <c r="I96" s="92">
        <v>485.82685375919476</v>
      </c>
      <c r="J96" s="92">
        <v>447.11906706028697</v>
      </c>
      <c r="K96" s="92">
        <v>426.00086697726294</v>
      </c>
      <c r="L96" s="92">
        <v>383.6090093436901</v>
      </c>
      <c r="M96" s="92">
        <v>357.04717179963291</v>
      </c>
      <c r="N96" s="92">
        <v>322.96057833530466</v>
      </c>
      <c r="O96" s="92">
        <v>289.00674381126157</v>
      </c>
      <c r="P96" s="92">
        <v>256.38198941732571</v>
      </c>
      <c r="Q96" s="92">
        <v>225.23259945285642</v>
      </c>
      <c r="R96" s="92">
        <v>192.40824862385767</v>
      </c>
      <c r="S96" s="92">
        <v>169.78667748146029</v>
      </c>
      <c r="T96" s="92">
        <v>149.17799889473233</v>
      </c>
      <c r="U96" s="92">
        <v>138.30622106467737</v>
      </c>
      <c r="V96" s="92">
        <v>126.90743981395768</v>
      </c>
      <c r="W96" s="92">
        <v>112.23844756220615</v>
      </c>
      <c r="X96" s="92">
        <v>99.186280962209679</v>
      </c>
      <c r="Y96" s="92">
        <v>92.5849768876339</v>
      </c>
      <c r="Z96" s="92">
        <v>90.36681928174886</v>
      </c>
      <c r="AA96" s="92">
        <v>89.426140951502475</v>
      </c>
      <c r="AB96" s="92">
        <v>95.103340976015176</v>
      </c>
      <c r="AC96" s="92">
        <v>95.911855601143486</v>
      </c>
      <c r="AD96" s="92">
        <v>100.85916058998416</v>
      </c>
      <c r="AE96" s="92">
        <v>106.84591364469786</v>
      </c>
      <c r="AF96" s="92">
        <v>89.88576913359887</v>
      </c>
      <c r="AG96" s="92">
        <v>109.46842886427555</v>
      </c>
      <c r="AH96" s="92">
        <v>120.44488574842261</v>
      </c>
      <c r="AI96" s="338">
        <v>127.98060342792056</v>
      </c>
      <c r="AJ96" s="338">
        <f t="shared" ref="AJ96:AJ99" si="40">AI96+(AK96-AI96)/2</f>
        <v>136.44441907099181</v>
      </c>
      <c r="AK96" s="338">
        <v>144.90823471406307</v>
      </c>
      <c r="AL96" s="338">
        <f t="shared" ref="AL96:AL99" si="41">AK96+(AN96-AK96)/3</f>
        <v>142.62121262022612</v>
      </c>
      <c r="AM96" s="338">
        <f t="shared" ref="AM96:AM99" si="42">AK96+(AN96-AK96)*2/3</f>
        <v>140.33419052638914</v>
      </c>
      <c r="AN96" s="338">
        <v>138.04716843255218</v>
      </c>
      <c r="AO96" s="338">
        <f t="shared" ref="AO96:AO99" si="43">AN96+(AP96-AN96)/2</f>
        <v>135.28992897171992</v>
      </c>
      <c r="AP96" s="338">
        <v>132.53268951088762</v>
      </c>
    </row>
    <row r="97" spans="1:42">
      <c r="A97" s="100" t="s">
        <v>438</v>
      </c>
      <c r="B97" s="92">
        <v>0.39300745153722522</v>
      </c>
      <c r="C97" s="92">
        <v>0.31519930195326806</v>
      </c>
      <c r="D97" s="92">
        <v>0.27369188997230443</v>
      </c>
      <c r="E97" s="92">
        <v>0.22991503897349594</v>
      </c>
      <c r="F97" s="92">
        <v>0.19385142256527041</v>
      </c>
      <c r="G97" s="92">
        <v>0.15357905140627839</v>
      </c>
      <c r="H97" s="92">
        <v>0.28043135269591202</v>
      </c>
      <c r="I97" s="92">
        <v>0.5882163369947262</v>
      </c>
      <c r="J97" s="92">
        <v>0.91311384349619584</v>
      </c>
      <c r="K97" s="92">
        <v>1.1995832299021771</v>
      </c>
      <c r="L97" s="92">
        <v>2.4360621412198968</v>
      </c>
      <c r="M97" s="92">
        <v>1.3409455491846567</v>
      </c>
      <c r="N97" s="92">
        <v>1.2223800829040723</v>
      </c>
      <c r="O97" s="92">
        <v>0.82498141103429778</v>
      </c>
      <c r="P97" s="92">
        <v>0.74240962304106173</v>
      </c>
      <c r="Q97" s="92">
        <v>0.96465952541363509</v>
      </c>
      <c r="R97" s="92">
        <v>0.87973221591122208</v>
      </c>
      <c r="S97" s="92">
        <v>0.70211452533231655</v>
      </c>
      <c r="T97" s="92">
        <v>0.60547803396903022</v>
      </c>
      <c r="U97" s="92">
        <v>0.54308598483311832</v>
      </c>
      <c r="V97" s="92">
        <v>0.63919733899778752</v>
      </c>
      <c r="W97" s="92">
        <v>0.89456710791266414</v>
      </c>
      <c r="X97" s="92">
        <v>0.6908427581251142</v>
      </c>
      <c r="Y97" s="92">
        <v>0.60871452919005897</v>
      </c>
      <c r="Z97" s="92">
        <v>0.39300426436720043</v>
      </c>
      <c r="AA97" s="92">
        <v>0.33749404304428077</v>
      </c>
      <c r="AB97" s="92">
        <v>0.29343413755711012</v>
      </c>
      <c r="AC97" s="92">
        <v>0.24150217778685268</v>
      </c>
      <c r="AD97" s="92">
        <v>0.20083851742081377</v>
      </c>
      <c r="AE97" s="92">
        <v>0.16706807899027276</v>
      </c>
      <c r="AF97" s="92">
        <v>0.10571188012764665</v>
      </c>
      <c r="AG97" s="92">
        <v>0.20393171483983044</v>
      </c>
      <c r="AH97" s="92">
        <v>0.18283638460860774</v>
      </c>
      <c r="AI97" s="338">
        <v>9.0345459026099112E-2</v>
      </c>
      <c r="AJ97" s="338">
        <f t="shared" si="40"/>
        <v>4.5172729513049556E-2</v>
      </c>
      <c r="AK97" s="338">
        <v>0</v>
      </c>
      <c r="AL97" s="338">
        <f t="shared" si="41"/>
        <v>0</v>
      </c>
      <c r="AM97" s="338">
        <f t="shared" si="42"/>
        <v>0</v>
      </c>
      <c r="AN97" s="338">
        <v>0</v>
      </c>
      <c r="AO97" s="338">
        <f t="shared" si="43"/>
        <v>0</v>
      </c>
      <c r="AP97" s="338">
        <v>0</v>
      </c>
    </row>
    <row r="98" spans="1:42">
      <c r="A98" s="100" t="s">
        <v>439</v>
      </c>
      <c r="B98" s="92">
        <v>3.2170624052106758E-2</v>
      </c>
      <c r="C98" s="92">
        <v>3.2272209543846402E-2</v>
      </c>
      <c r="D98" s="92">
        <v>3.1189665449054056E-2</v>
      </c>
      <c r="E98" s="92">
        <v>0.19465691206122113</v>
      </c>
      <c r="F98" s="92">
        <v>8.9138979358499404E-2</v>
      </c>
      <c r="G98" s="92">
        <v>4.3665451378461326E-2</v>
      </c>
      <c r="H98" s="92">
        <v>4.5713981354333029E-2</v>
      </c>
      <c r="I98" s="92">
        <v>3.0052966224368028E-2</v>
      </c>
      <c r="J98" s="92">
        <v>2.5394430622899235E-2</v>
      </c>
      <c r="K98" s="92">
        <v>2.124953259014226E-2</v>
      </c>
      <c r="L98" s="92">
        <v>8.4404117738662229E-2</v>
      </c>
      <c r="M98" s="92">
        <v>0.33147720964133431</v>
      </c>
      <c r="N98" s="92">
        <v>0.60562438260293072</v>
      </c>
      <c r="O98" s="92">
        <v>0.40939957000839422</v>
      </c>
      <c r="P98" s="92">
        <v>0.39871416649110225</v>
      </c>
      <c r="Q98" s="92">
        <v>0.70173394396162703</v>
      </c>
      <c r="R98" s="92">
        <v>0.72752636158438844</v>
      </c>
      <c r="S98" s="92">
        <v>0.50147582324931494</v>
      </c>
      <c r="T98" s="92">
        <v>0.51993471328817897</v>
      </c>
      <c r="U98" s="92">
        <v>0.43809362537116953</v>
      </c>
      <c r="V98" s="92">
        <v>0.42903633057627166</v>
      </c>
      <c r="W98" s="92">
        <v>1.0074101654292671</v>
      </c>
      <c r="X98" s="92">
        <v>0.94357779951873666</v>
      </c>
      <c r="Y98" s="92">
        <v>0.84870302834585709</v>
      </c>
      <c r="Z98" s="92">
        <v>0.34164187041995836</v>
      </c>
      <c r="AA98" s="92">
        <v>0.29142570367610621</v>
      </c>
      <c r="AB98" s="92">
        <v>0.20436264321739023</v>
      </c>
      <c r="AC98" s="92">
        <v>0.11777818040890907</v>
      </c>
      <c r="AD98" s="92">
        <v>9.0220473943347174E-2</v>
      </c>
      <c r="AE98" s="92">
        <v>6.7840352449259803E-2</v>
      </c>
      <c r="AF98" s="92">
        <v>4.4860797866392244E-2</v>
      </c>
      <c r="AG98" s="92">
        <v>9.4494572185293196E-2</v>
      </c>
      <c r="AH98" s="92">
        <v>7.3058950204362205E-2</v>
      </c>
      <c r="AI98" s="338">
        <v>8.1741295885088605E-2</v>
      </c>
      <c r="AJ98" s="338">
        <f t="shared" si="40"/>
        <v>8.0466711671417127E-2</v>
      </c>
      <c r="AK98" s="338">
        <v>7.9192127457745648E-2</v>
      </c>
      <c r="AL98" s="338">
        <f t="shared" si="41"/>
        <v>7.8836809825755888E-2</v>
      </c>
      <c r="AM98" s="338">
        <f t="shared" si="42"/>
        <v>7.8481492193766114E-2</v>
      </c>
      <c r="AN98" s="338">
        <v>7.8126174561776354E-2</v>
      </c>
      <c r="AO98" s="338">
        <f t="shared" si="43"/>
        <v>7.7678719194769069E-2</v>
      </c>
      <c r="AP98" s="338">
        <v>7.723126382776177E-2</v>
      </c>
    </row>
    <row r="99" spans="1:42">
      <c r="A99" s="100" t="s">
        <v>440</v>
      </c>
      <c r="B99" s="92">
        <v>0</v>
      </c>
      <c r="C99" s="92">
        <v>0</v>
      </c>
      <c r="D99" s="92">
        <v>0</v>
      </c>
      <c r="E99" s="92">
        <v>0</v>
      </c>
      <c r="F99" s="92">
        <v>0</v>
      </c>
      <c r="G99" s="92">
        <v>0</v>
      </c>
      <c r="H99" s="92">
        <v>0</v>
      </c>
      <c r="I99" s="92">
        <v>0</v>
      </c>
      <c r="J99" s="92">
        <v>0</v>
      </c>
      <c r="K99" s="92">
        <v>0</v>
      </c>
      <c r="L99" s="92">
        <v>0</v>
      </c>
      <c r="M99" s="92">
        <v>0</v>
      </c>
      <c r="N99" s="92">
        <v>0</v>
      </c>
      <c r="O99" s="92">
        <v>0</v>
      </c>
      <c r="P99" s="92">
        <v>0</v>
      </c>
      <c r="Q99" s="92">
        <v>0</v>
      </c>
      <c r="R99" s="92">
        <v>0</v>
      </c>
      <c r="S99" s="92">
        <v>0</v>
      </c>
      <c r="T99" s="92">
        <v>0</v>
      </c>
      <c r="U99" s="92">
        <v>0</v>
      </c>
      <c r="V99" s="92">
        <v>0</v>
      </c>
      <c r="W99" s="92">
        <v>0</v>
      </c>
      <c r="X99" s="92">
        <v>0</v>
      </c>
      <c r="Y99" s="92">
        <v>0</v>
      </c>
      <c r="Z99" s="92">
        <v>0</v>
      </c>
      <c r="AA99" s="92">
        <v>0</v>
      </c>
      <c r="AB99" s="92">
        <v>0</v>
      </c>
      <c r="AC99" s="92">
        <v>0</v>
      </c>
      <c r="AD99" s="92">
        <v>0</v>
      </c>
      <c r="AE99" s="92">
        <v>0</v>
      </c>
      <c r="AF99" s="92">
        <v>0</v>
      </c>
      <c r="AG99" s="92">
        <v>0</v>
      </c>
      <c r="AH99" s="92">
        <v>0</v>
      </c>
      <c r="AI99" s="338">
        <v>0</v>
      </c>
      <c r="AJ99" s="338">
        <f t="shared" si="40"/>
        <v>0</v>
      </c>
      <c r="AK99" s="338">
        <v>0</v>
      </c>
      <c r="AL99" s="338">
        <f t="shared" si="41"/>
        <v>0</v>
      </c>
      <c r="AM99" s="338">
        <f t="shared" si="42"/>
        <v>0</v>
      </c>
      <c r="AN99" s="338">
        <v>0</v>
      </c>
      <c r="AO99" s="338">
        <f t="shared" si="43"/>
        <v>0</v>
      </c>
      <c r="AP99" s="338">
        <v>0</v>
      </c>
    </row>
    <row r="100" spans="1:42">
      <c r="A100" s="100" t="s">
        <v>441</v>
      </c>
      <c r="B100" s="92">
        <v>18.274805521750466</v>
      </c>
      <c r="C100" s="92">
        <v>20.605456303322885</v>
      </c>
      <c r="D100" s="92">
        <v>22.65810766469238</v>
      </c>
      <c r="E100" s="92">
        <v>24.558559887425851</v>
      </c>
      <c r="F100" s="92">
        <v>25.324604388020905</v>
      </c>
      <c r="G100" s="92">
        <v>25.780303558059202</v>
      </c>
      <c r="H100" s="92">
        <v>25.438597738081139</v>
      </c>
      <c r="I100" s="92">
        <v>25.38136673007104</v>
      </c>
      <c r="J100" s="92">
        <v>23.385378067213697</v>
      </c>
      <c r="K100" s="92">
        <v>20.993433949032021</v>
      </c>
      <c r="L100" s="92">
        <v>18.223478767762391</v>
      </c>
      <c r="M100" s="92">
        <v>17.078309971779809</v>
      </c>
      <c r="N100" s="92">
        <v>15.561848377498816</v>
      </c>
      <c r="O100" s="92">
        <v>13.845034742386812</v>
      </c>
      <c r="P100" s="92">
        <v>11.982056192196797</v>
      </c>
      <c r="Q100" s="92">
        <v>10.581677201362577</v>
      </c>
      <c r="R100" s="92">
        <v>8.9932328355345099</v>
      </c>
      <c r="S100" s="92">
        <v>7.4826383846609188</v>
      </c>
      <c r="T100" s="92">
        <v>6.0942420486731823</v>
      </c>
      <c r="U100" s="92">
        <v>5.2086371650630019</v>
      </c>
      <c r="V100" s="92">
        <v>4.7139446957711542</v>
      </c>
      <c r="W100" s="92">
        <v>4.0583407310469992</v>
      </c>
      <c r="X100" s="92">
        <v>3.3993555492849787</v>
      </c>
      <c r="Y100" s="92">
        <v>2.8980288392508986</v>
      </c>
      <c r="Z100" s="92">
        <v>2.4336283384602497</v>
      </c>
      <c r="AA100" s="92">
        <v>2.0634556562970792</v>
      </c>
      <c r="AB100" s="92">
        <v>1.7215457711584403</v>
      </c>
      <c r="AC100" s="92">
        <v>1.3855456380531681</v>
      </c>
      <c r="AD100" s="92">
        <v>1.1107218039391191</v>
      </c>
      <c r="AE100" s="92">
        <v>0.86206184060836122</v>
      </c>
      <c r="AF100" s="92">
        <v>0.5857596134962828</v>
      </c>
      <c r="AG100" s="92">
        <v>0.51886907519138226</v>
      </c>
      <c r="AH100" s="92">
        <v>0.42622772253228119</v>
      </c>
      <c r="AI100" s="338">
        <v>0.36636843697074339</v>
      </c>
      <c r="AJ100" s="338">
        <f>AI100+(AK100-AI100)/2</f>
        <v>0.32133939910715992</v>
      </c>
      <c r="AK100" s="338">
        <v>0.27631036124357644</v>
      </c>
      <c r="AL100" s="338">
        <f>AK100+(AN100-AK100)/3</f>
        <v>0.24584355155412316</v>
      </c>
      <c r="AM100" s="338">
        <f>AK100+(AN100-AK100)*2/3</f>
        <v>0.21537674186466987</v>
      </c>
      <c r="AN100" s="338">
        <v>0.18490993217521659</v>
      </c>
      <c r="AO100" s="338">
        <f>AN100+(AP100-AN100)/2</f>
        <v>0.16723106121440573</v>
      </c>
      <c r="AP100" s="338">
        <v>0.14955219025359487</v>
      </c>
    </row>
    <row r="101" spans="1:42">
      <c r="A101" s="100" t="s">
        <v>442</v>
      </c>
      <c r="B101" s="92">
        <v>153.30754205879992</v>
      </c>
      <c r="C101" s="92">
        <v>147.57607294530871</v>
      </c>
      <c r="D101" s="92">
        <v>133.44011902512037</v>
      </c>
      <c r="E101" s="92">
        <v>117.49070577552888</v>
      </c>
      <c r="F101" s="92">
        <v>110.53453519457634</v>
      </c>
      <c r="G101" s="92">
        <v>95.459146399766084</v>
      </c>
      <c r="H101" s="92">
        <v>90.052527530416398</v>
      </c>
      <c r="I101" s="92">
        <v>83.960076259182287</v>
      </c>
      <c r="J101" s="92">
        <v>78.087987345527068</v>
      </c>
      <c r="K101" s="92">
        <v>73.228718935433506</v>
      </c>
      <c r="L101" s="92">
        <v>60.252461502287673</v>
      </c>
      <c r="M101" s="92">
        <v>56.052575140652813</v>
      </c>
      <c r="N101" s="92">
        <v>50.596976010317995</v>
      </c>
      <c r="O101" s="92">
        <v>45.349085673494294</v>
      </c>
      <c r="P101" s="92">
        <v>41.532620428058109</v>
      </c>
      <c r="Q101" s="92">
        <v>36.683641889688055</v>
      </c>
      <c r="R101" s="92">
        <v>34.616747638880142</v>
      </c>
      <c r="S101" s="92">
        <v>30.110181212311709</v>
      </c>
      <c r="T101" s="92">
        <v>21.766457705836196</v>
      </c>
      <c r="U101" s="92">
        <v>18.936289291795539</v>
      </c>
      <c r="V101" s="92">
        <v>15.778945458907533</v>
      </c>
      <c r="W101" s="92">
        <v>13.182193592098555</v>
      </c>
      <c r="X101" s="92">
        <v>13.141698967515721</v>
      </c>
      <c r="Y101" s="92">
        <v>12.746721668165867</v>
      </c>
      <c r="Z101" s="92">
        <v>10.855476799880121</v>
      </c>
      <c r="AA101" s="92">
        <v>12.282899151482685</v>
      </c>
      <c r="AB101" s="92">
        <v>9.7332916252663644</v>
      </c>
      <c r="AC101" s="92">
        <v>11.797430426427479</v>
      </c>
      <c r="AD101" s="92">
        <v>10.834402359483416</v>
      </c>
      <c r="AE101" s="92">
        <v>11.191248639199838</v>
      </c>
      <c r="AF101" s="92">
        <v>9.7084053190063369</v>
      </c>
      <c r="AG101" s="92">
        <v>12.312379130360648</v>
      </c>
      <c r="AH101" s="92">
        <v>13.718923959018792</v>
      </c>
      <c r="AI101" s="338">
        <v>22.301036775888328</v>
      </c>
      <c r="AJ101" s="338">
        <f t="shared" ref="AJ101:AJ107" si="44">AI101+(AK101-AI101)/2</f>
        <v>26.942566124043402</v>
      </c>
      <c r="AK101" s="338">
        <v>31.584095472198474</v>
      </c>
      <c r="AL101" s="338">
        <f t="shared" ref="AL101:AL107" si="45">AK101+(AN101-AK101)/3</f>
        <v>31.33876541744392</v>
      </c>
      <c r="AM101" s="338">
        <f t="shared" ref="AM101:AM107" si="46">AK101+(AN101-AK101)*2/3</f>
        <v>31.093435362689366</v>
      </c>
      <c r="AN101" s="338">
        <v>30.848105307934812</v>
      </c>
      <c r="AO101" s="338">
        <f t="shared" ref="AO101:AO107" si="47">AN101+(AP101-AN101)/2</f>
        <v>30.523818455745527</v>
      </c>
      <c r="AP101" s="338">
        <v>30.199531603556242</v>
      </c>
    </row>
    <row r="102" spans="1:42">
      <c r="A102" s="100" t="s">
        <v>443</v>
      </c>
      <c r="B102" s="92">
        <v>0.71833405780201631</v>
      </c>
      <c r="C102" s="92">
        <v>0.73582649285228507</v>
      </c>
      <c r="D102" s="92">
        <v>0.61559203020744246</v>
      </c>
      <c r="E102" s="92">
        <v>0.55022262752943674</v>
      </c>
      <c r="F102" s="92">
        <v>0.49150002085858335</v>
      </c>
      <c r="G102" s="92">
        <v>0.42385629659926632</v>
      </c>
      <c r="H102" s="92">
        <v>0.7165986780633844</v>
      </c>
      <c r="I102" s="92">
        <v>1.3837854124239752</v>
      </c>
      <c r="J102" s="92">
        <v>2.4082972737938664</v>
      </c>
      <c r="K102" s="92">
        <v>3.1818889558218597</v>
      </c>
      <c r="L102" s="92">
        <v>1.9837326904836048</v>
      </c>
      <c r="M102" s="92">
        <v>2.9692263169015911</v>
      </c>
      <c r="N102" s="92">
        <v>2.578047666532747</v>
      </c>
      <c r="O102" s="92">
        <v>2.5282987090733822</v>
      </c>
      <c r="P102" s="92">
        <v>2.2775790128427449</v>
      </c>
      <c r="Q102" s="92">
        <v>1.7962874233345163</v>
      </c>
      <c r="R102" s="92">
        <v>1.6501813617354228</v>
      </c>
      <c r="S102" s="92">
        <v>1.5454053543175936</v>
      </c>
      <c r="T102" s="92">
        <v>1.4776648176283969</v>
      </c>
      <c r="U102" s="92">
        <v>1.2834104666748425</v>
      </c>
      <c r="V102" s="92">
        <v>1.4602736338575155</v>
      </c>
      <c r="W102" s="92">
        <v>1.3197219888506244</v>
      </c>
      <c r="X102" s="92">
        <v>1.2912350071781089</v>
      </c>
      <c r="Y102" s="92">
        <v>1.1156995493135315</v>
      </c>
      <c r="Z102" s="92">
        <v>1.0832020309114485</v>
      </c>
      <c r="AA102" s="92">
        <v>0.94831049349630181</v>
      </c>
      <c r="AB102" s="92">
        <v>0.83183744487815914</v>
      </c>
      <c r="AC102" s="92">
        <v>0.730037402779391</v>
      </c>
      <c r="AD102" s="92">
        <v>0.65821482587855218</v>
      </c>
      <c r="AE102" s="92">
        <v>0.60154747137707432</v>
      </c>
      <c r="AF102" s="92">
        <v>0.40997913892634852</v>
      </c>
      <c r="AG102" s="92">
        <v>0.51038657305814084</v>
      </c>
      <c r="AH102" s="92">
        <v>0.45628089574181263</v>
      </c>
      <c r="AI102" s="338">
        <v>0.26256593539838663</v>
      </c>
      <c r="AJ102" s="338">
        <f t="shared" si="44"/>
        <v>0.13128296769919331</v>
      </c>
      <c r="AK102" s="338">
        <v>0</v>
      </c>
      <c r="AL102" s="338">
        <f t="shared" si="45"/>
        <v>0</v>
      </c>
      <c r="AM102" s="338">
        <f t="shared" si="46"/>
        <v>0</v>
      </c>
      <c r="AN102" s="338">
        <v>0</v>
      </c>
      <c r="AO102" s="338">
        <f t="shared" si="47"/>
        <v>0</v>
      </c>
      <c r="AP102" s="338">
        <v>0</v>
      </c>
    </row>
    <row r="103" spans="1:42">
      <c r="A103" s="100" t="s">
        <v>444</v>
      </c>
      <c r="B103" s="92">
        <v>7.9052271416958655E-2</v>
      </c>
      <c r="C103" s="92">
        <v>0.1013519662036082</v>
      </c>
      <c r="D103" s="92">
        <v>9.5506809316610236E-2</v>
      </c>
      <c r="E103" s="92">
        <v>0.66529136891525387</v>
      </c>
      <c r="F103" s="92">
        <v>0.34840666862194658</v>
      </c>
      <c r="G103" s="92">
        <v>0.2003064298407492</v>
      </c>
      <c r="H103" s="92">
        <v>0.2087783910660799</v>
      </c>
      <c r="I103" s="92">
        <v>0.13370024249959445</v>
      </c>
      <c r="J103" s="92">
        <v>0.13317763147446818</v>
      </c>
      <c r="K103" s="92">
        <v>0.11895370945434988</v>
      </c>
      <c r="L103" s="92">
        <v>0.15517830630259885</v>
      </c>
      <c r="M103" s="92">
        <v>1.7954117950591522</v>
      </c>
      <c r="N103" s="92">
        <v>3.3910873123938101</v>
      </c>
      <c r="O103" s="92">
        <v>3.6231312962401656</v>
      </c>
      <c r="P103" s="92">
        <v>3.8572515754323762</v>
      </c>
      <c r="Q103" s="92">
        <v>4.4311083938513365</v>
      </c>
      <c r="R103" s="92">
        <v>4.7181080826363697</v>
      </c>
      <c r="S103" s="92">
        <v>3.7478629307822411</v>
      </c>
      <c r="T103" s="92">
        <v>4.051972641501199</v>
      </c>
      <c r="U103" s="92">
        <v>3.1452717194229871</v>
      </c>
      <c r="V103" s="92">
        <v>3.0606716334662258</v>
      </c>
      <c r="W103" s="92">
        <v>4.7879186116664343</v>
      </c>
      <c r="X103" s="92">
        <v>5.3018078675737375</v>
      </c>
      <c r="Y103" s="92">
        <v>4.1825021745786621</v>
      </c>
      <c r="Z103" s="92">
        <v>2.1358515035327557</v>
      </c>
      <c r="AA103" s="92">
        <v>1.5648620074122059</v>
      </c>
      <c r="AB103" s="92">
        <v>0.80375620043831586</v>
      </c>
      <c r="AC103" s="92">
        <v>0.40264324879419289</v>
      </c>
      <c r="AD103" s="92">
        <v>0.23669325816770839</v>
      </c>
      <c r="AE103" s="92">
        <v>0.17280044297974381</v>
      </c>
      <c r="AF103" s="92">
        <v>0.11689209960636696</v>
      </c>
      <c r="AG103" s="92">
        <v>0.14788776250714333</v>
      </c>
      <c r="AH103" s="92">
        <v>0.12690184403758928</v>
      </c>
      <c r="AI103" s="338">
        <v>0.10704838169285406</v>
      </c>
      <c r="AJ103" s="338">
        <f t="shared" si="44"/>
        <v>0.10469919844075277</v>
      </c>
      <c r="AK103" s="338">
        <v>0.10235001518865149</v>
      </c>
      <c r="AL103" s="338">
        <f t="shared" si="45"/>
        <v>0.10237825960800853</v>
      </c>
      <c r="AM103" s="338">
        <f t="shared" si="46"/>
        <v>0.10240650402736559</v>
      </c>
      <c r="AN103" s="338">
        <v>0.10243474844672264</v>
      </c>
      <c r="AO103" s="338">
        <f t="shared" si="47"/>
        <v>0.10241741763699716</v>
      </c>
      <c r="AP103" s="338">
        <v>0.10240008682727167</v>
      </c>
    </row>
    <row r="104" spans="1:42">
      <c r="A104" s="100" t="s">
        <v>445</v>
      </c>
      <c r="B104" s="92">
        <v>0</v>
      </c>
      <c r="C104" s="92">
        <v>0</v>
      </c>
      <c r="D104" s="92">
        <v>0</v>
      </c>
      <c r="E104" s="92">
        <v>0</v>
      </c>
      <c r="F104" s="92">
        <v>0</v>
      </c>
      <c r="G104" s="92">
        <v>0</v>
      </c>
      <c r="H104" s="92">
        <v>0</v>
      </c>
      <c r="I104" s="92">
        <v>0</v>
      </c>
      <c r="J104" s="92">
        <v>0</v>
      </c>
      <c r="K104" s="92">
        <v>0</v>
      </c>
      <c r="L104" s="92">
        <v>0</v>
      </c>
      <c r="M104" s="92">
        <v>0</v>
      </c>
      <c r="N104" s="92">
        <v>0</v>
      </c>
      <c r="O104" s="92">
        <v>0</v>
      </c>
      <c r="P104" s="92">
        <v>0</v>
      </c>
      <c r="Q104" s="92">
        <v>0</v>
      </c>
      <c r="R104" s="92">
        <v>0</v>
      </c>
      <c r="S104" s="92">
        <v>0</v>
      </c>
      <c r="T104" s="92">
        <v>0</v>
      </c>
      <c r="U104" s="92">
        <v>0</v>
      </c>
      <c r="V104" s="92">
        <v>0</v>
      </c>
      <c r="W104" s="92">
        <v>0</v>
      </c>
      <c r="X104" s="92">
        <v>0</v>
      </c>
      <c r="Y104" s="92">
        <v>0</v>
      </c>
      <c r="Z104" s="92">
        <v>0</v>
      </c>
      <c r="AA104" s="92">
        <v>0</v>
      </c>
      <c r="AB104" s="92">
        <v>0</v>
      </c>
      <c r="AC104" s="92">
        <v>0</v>
      </c>
      <c r="AD104" s="92">
        <v>0</v>
      </c>
      <c r="AE104" s="92">
        <v>0</v>
      </c>
      <c r="AF104" s="92">
        <v>0</v>
      </c>
      <c r="AG104" s="92">
        <v>0</v>
      </c>
      <c r="AH104" s="92">
        <v>0</v>
      </c>
      <c r="AI104" s="338">
        <v>0</v>
      </c>
      <c r="AJ104" s="338">
        <f t="shared" si="44"/>
        <v>0</v>
      </c>
      <c r="AK104" s="338">
        <v>0</v>
      </c>
      <c r="AL104" s="338">
        <f t="shared" si="45"/>
        <v>0</v>
      </c>
      <c r="AM104" s="338">
        <f t="shared" si="46"/>
        <v>0</v>
      </c>
      <c r="AN104" s="338">
        <v>0</v>
      </c>
      <c r="AO104" s="338">
        <f t="shared" si="47"/>
        <v>0</v>
      </c>
      <c r="AP104" s="338">
        <v>0</v>
      </c>
    </row>
    <row r="105" spans="1:42" ht="36">
      <c r="A105" s="100" t="s">
        <v>446</v>
      </c>
      <c r="B105" s="92">
        <v>51.177270076376132</v>
      </c>
      <c r="C105" s="92">
        <v>53.548727912556394</v>
      </c>
      <c r="D105" s="92">
        <v>55.579852819783149</v>
      </c>
      <c r="E105" s="92">
        <v>55.074296770827907</v>
      </c>
      <c r="F105" s="92">
        <v>56.934396428262225</v>
      </c>
      <c r="G105" s="92">
        <v>57.869864027135847</v>
      </c>
      <c r="H105" s="92">
        <v>59.278075534078923</v>
      </c>
      <c r="I105" s="92">
        <v>60.575945821245753</v>
      </c>
      <c r="J105" s="92">
        <v>62.072175291524964</v>
      </c>
      <c r="K105" s="92">
        <v>64.32600747468932</v>
      </c>
      <c r="L105" s="92">
        <v>64.469373602366744</v>
      </c>
      <c r="M105" s="92">
        <v>63.323440062618836</v>
      </c>
      <c r="N105" s="92">
        <v>62.819489618421684</v>
      </c>
      <c r="O105" s="92">
        <v>60.392092874323197</v>
      </c>
      <c r="P105" s="92">
        <v>61.684683021102586</v>
      </c>
      <c r="Q105" s="92">
        <v>59.291166926375325</v>
      </c>
      <c r="R105" s="92">
        <v>58.051643378634722</v>
      </c>
      <c r="S105" s="92">
        <v>53.874477186275648</v>
      </c>
      <c r="T105" s="92">
        <v>44.869649285254205</v>
      </c>
      <c r="U105" s="92">
        <v>38.216369215841709</v>
      </c>
      <c r="V105" s="92">
        <v>31.892457151640702</v>
      </c>
      <c r="W105" s="92">
        <v>28.244714047654423</v>
      </c>
      <c r="X105" s="92">
        <v>23.38276167091589</v>
      </c>
      <c r="Y105" s="92">
        <v>19.618210664748652</v>
      </c>
      <c r="Z105" s="92">
        <v>15.099663083154235</v>
      </c>
      <c r="AA105" s="92">
        <v>14.33383289541662</v>
      </c>
      <c r="AB105" s="92">
        <v>12.212561831513487</v>
      </c>
      <c r="AC105" s="92">
        <v>11.725978086090834</v>
      </c>
      <c r="AD105" s="92">
        <v>10.753976712398241</v>
      </c>
      <c r="AE105" s="92">
        <v>9.7371382148268744</v>
      </c>
      <c r="AF105" s="92">
        <v>7.7711102441048725</v>
      </c>
      <c r="AG105" s="92">
        <v>7.8354652003413507</v>
      </c>
      <c r="AH105" s="92">
        <v>7.2771496689058361</v>
      </c>
      <c r="AI105" s="348">
        <v>8.2205159461260848</v>
      </c>
      <c r="AJ105" s="338">
        <f t="shared" si="44"/>
        <v>7.5709993193354936</v>
      </c>
      <c r="AK105" s="348">
        <v>6.9214826925449033</v>
      </c>
      <c r="AL105" s="338">
        <f t="shared" si="45"/>
        <v>6.2342443655470241</v>
      </c>
      <c r="AM105" s="338">
        <f t="shared" si="46"/>
        <v>5.5470060385491449</v>
      </c>
      <c r="AN105" s="348">
        <v>4.8597677115512656</v>
      </c>
      <c r="AO105" s="338">
        <f t="shared" si="47"/>
        <v>4.2357720268079575</v>
      </c>
      <c r="AP105" s="348">
        <v>3.6117763420646494</v>
      </c>
    </row>
    <row r="106" spans="1:42" ht="36">
      <c r="A106" s="100" t="s">
        <v>447</v>
      </c>
      <c r="B106" s="92">
        <v>0</v>
      </c>
      <c r="C106" s="92">
        <v>0</v>
      </c>
      <c r="D106" s="92">
        <v>0</v>
      </c>
      <c r="E106" s="92">
        <v>0</v>
      </c>
      <c r="F106" s="92">
        <v>0</v>
      </c>
      <c r="G106" s="92">
        <v>0</v>
      </c>
      <c r="H106" s="92">
        <v>0</v>
      </c>
      <c r="I106" s="92">
        <v>0</v>
      </c>
      <c r="J106" s="92">
        <v>0</v>
      </c>
      <c r="K106" s="92">
        <v>0</v>
      </c>
      <c r="L106" s="92">
        <v>0</v>
      </c>
      <c r="M106" s="92">
        <v>0</v>
      </c>
      <c r="N106" s="92">
        <v>0</v>
      </c>
      <c r="O106" s="92">
        <v>0</v>
      </c>
      <c r="P106" s="92">
        <v>0</v>
      </c>
      <c r="Q106" s="92">
        <v>0</v>
      </c>
      <c r="R106" s="92">
        <v>0</v>
      </c>
      <c r="S106" s="92">
        <v>0</v>
      </c>
      <c r="T106" s="92">
        <v>0</v>
      </c>
      <c r="U106" s="92">
        <v>0</v>
      </c>
      <c r="V106" s="92">
        <v>0</v>
      </c>
      <c r="W106" s="92">
        <v>0</v>
      </c>
      <c r="X106" s="92">
        <v>0</v>
      </c>
      <c r="Y106" s="92">
        <v>0</v>
      </c>
      <c r="Z106" s="92">
        <v>0</v>
      </c>
      <c r="AA106" s="92">
        <v>0</v>
      </c>
      <c r="AB106" s="92">
        <v>0</v>
      </c>
      <c r="AC106" s="92">
        <v>0</v>
      </c>
      <c r="AD106" s="92">
        <v>0</v>
      </c>
      <c r="AE106" s="92">
        <v>0</v>
      </c>
      <c r="AF106" s="92">
        <v>0</v>
      </c>
      <c r="AG106" s="92">
        <v>0</v>
      </c>
      <c r="AH106" s="92">
        <v>0</v>
      </c>
      <c r="AI106" s="338">
        <v>4.4557533317314043E-3</v>
      </c>
      <c r="AJ106" s="338">
        <f t="shared" si="44"/>
        <v>4.8614955682847434E-3</v>
      </c>
      <c r="AK106" s="338">
        <v>5.2672378048380826E-3</v>
      </c>
      <c r="AL106" s="338">
        <f t="shared" si="45"/>
        <v>5.2158593586880833E-3</v>
      </c>
      <c r="AM106" s="338">
        <f t="shared" si="46"/>
        <v>5.1644809125380832E-3</v>
      </c>
      <c r="AN106" s="338">
        <v>5.113102466388084E-3</v>
      </c>
      <c r="AO106" s="338">
        <f t="shared" si="47"/>
        <v>5.0459161851949081E-3</v>
      </c>
      <c r="AP106" s="338">
        <v>4.9787299040017323E-3</v>
      </c>
    </row>
    <row r="107" spans="1:42" ht="36">
      <c r="A107" s="100" t="s">
        <v>448</v>
      </c>
      <c r="B107" s="92">
        <v>0</v>
      </c>
      <c r="C107" s="92">
        <v>0</v>
      </c>
      <c r="D107" s="92">
        <v>0</v>
      </c>
      <c r="E107" s="92">
        <v>0</v>
      </c>
      <c r="F107" s="92">
        <v>0</v>
      </c>
      <c r="G107" s="92">
        <v>0</v>
      </c>
      <c r="H107" s="92">
        <v>0</v>
      </c>
      <c r="I107" s="92">
        <v>0</v>
      </c>
      <c r="J107" s="92">
        <v>0</v>
      </c>
      <c r="K107" s="92">
        <v>0</v>
      </c>
      <c r="L107" s="92">
        <v>0</v>
      </c>
      <c r="M107" s="92">
        <v>0</v>
      </c>
      <c r="N107" s="92">
        <v>0</v>
      </c>
      <c r="O107" s="92">
        <v>0</v>
      </c>
      <c r="P107" s="92">
        <v>0</v>
      </c>
      <c r="Q107" s="92">
        <v>0</v>
      </c>
      <c r="R107" s="92">
        <v>0</v>
      </c>
      <c r="S107" s="92">
        <v>0</v>
      </c>
      <c r="T107" s="92">
        <v>0</v>
      </c>
      <c r="U107" s="92">
        <v>0</v>
      </c>
      <c r="V107" s="92">
        <v>0</v>
      </c>
      <c r="W107" s="92">
        <v>0</v>
      </c>
      <c r="X107" s="92">
        <v>0</v>
      </c>
      <c r="Y107" s="92">
        <v>0</v>
      </c>
      <c r="Z107" s="92">
        <v>0</v>
      </c>
      <c r="AA107" s="92">
        <v>0</v>
      </c>
      <c r="AB107" s="92">
        <v>0</v>
      </c>
      <c r="AC107" s="92">
        <v>0</v>
      </c>
      <c r="AD107" s="92">
        <v>0</v>
      </c>
      <c r="AE107" s="92">
        <v>0</v>
      </c>
      <c r="AF107" s="92">
        <v>0</v>
      </c>
      <c r="AG107" s="92">
        <v>0</v>
      </c>
      <c r="AH107" s="92">
        <v>0</v>
      </c>
      <c r="AI107" s="201">
        <v>11.044057735460457</v>
      </c>
      <c r="AJ107" s="338">
        <f t="shared" si="44"/>
        <v>11.770587809403704</v>
      </c>
      <c r="AK107" s="201">
        <v>12.497117883346949</v>
      </c>
      <c r="AL107" s="338">
        <f t="shared" si="45"/>
        <v>13.805724157420645</v>
      </c>
      <c r="AM107" s="338">
        <f t="shared" si="46"/>
        <v>15.114330431494341</v>
      </c>
      <c r="AN107" s="201">
        <v>16.422936705568038</v>
      </c>
      <c r="AO107" s="338">
        <f t="shared" si="47"/>
        <v>17.744217206621258</v>
      </c>
      <c r="AP107" s="201">
        <v>19.065497707674481</v>
      </c>
    </row>
    <row r="108" spans="1:42" ht="36">
      <c r="A108" s="100" t="s">
        <v>449</v>
      </c>
      <c r="B108" s="92">
        <v>0</v>
      </c>
      <c r="C108" s="92">
        <v>0</v>
      </c>
      <c r="D108" s="92">
        <v>0</v>
      </c>
      <c r="E108" s="92">
        <v>0</v>
      </c>
      <c r="F108" s="92">
        <v>0</v>
      </c>
      <c r="G108" s="92">
        <v>0</v>
      </c>
      <c r="H108" s="92">
        <v>0</v>
      </c>
      <c r="I108" s="92">
        <v>0</v>
      </c>
      <c r="J108" s="92">
        <v>0</v>
      </c>
      <c r="K108" s="92">
        <v>0</v>
      </c>
      <c r="L108" s="92">
        <v>0</v>
      </c>
      <c r="M108" s="92">
        <v>0</v>
      </c>
      <c r="N108" s="92">
        <v>0</v>
      </c>
      <c r="O108" s="92">
        <v>0</v>
      </c>
      <c r="P108" s="92">
        <v>0</v>
      </c>
      <c r="Q108" s="92">
        <v>0</v>
      </c>
      <c r="R108" s="92">
        <v>0</v>
      </c>
      <c r="S108" s="92">
        <v>0</v>
      </c>
      <c r="T108" s="92">
        <v>0</v>
      </c>
      <c r="U108" s="92">
        <v>0</v>
      </c>
      <c r="V108" s="92">
        <v>0</v>
      </c>
      <c r="W108" s="92">
        <v>0</v>
      </c>
      <c r="X108" s="92">
        <v>0</v>
      </c>
      <c r="Y108" s="92">
        <v>0</v>
      </c>
      <c r="Z108" s="92">
        <v>0</v>
      </c>
      <c r="AA108" s="92">
        <v>0</v>
      </c>
      <c r="AB108" s="92">
        <v>0</v>
      </c>
      <c r="AC108" s="92">
        <v>0</v>
      </c>
      <c r="AD108" s="92">
        <v>0</v>
      </c>
      <c r="AE108" s="92">
        <v>0</v>
      </c>
      <c r="AF108" s="92">
        <v>0</v>
      </c>
      <c r="AG108" s="92">
        <v>0</v>
      </c>
      <c r="AH108" s="92">
        <v>0</v>
      </c>
      <c r="AI108" s="92">
        <v>0</v>
      </c>
      <c r="AJ108" s="92">
        <v>0</v>
      </c>
      <c r="AK108" s="92">
        <v>0</v>
      </c>
      <c r="AL108" s="92">
        <v>0</v>
      </c>
      <c r="AM108" s="92">
        <v>0</v>
      </c>
      <c r="AN108" s="92">
        <v>0</v>
      </c>
      <c r="AO108" s="92">
        <v>0</v>
      </c>
      <c r="AP108" s="92">
        <v>0</v>
      </c>
    </row>
    <row r="109" spans="1:42" ht="24">
      <c r="A109" s="100" t="s">
        <v>450</v>
      </c>
      <c r="B109" s="92">
        <v>7.1116713981479656</v>
      </c>
      <c r="C109" s="92">
        <v>7.6940089048229572</v>
      </c>
      <c r="D109" s="92">
        <v>7.8817821537396879</v>
      </c>
      <c r="E109" s="92">
        <v>8.2137569649366853</v>
      </c>
      <c r="F109" s="92">
        <v>8.1900883460826766</v>
      </c>
      <c r="G109" s="92">
        <v>8.1292109823660965</v>
      </c>
      <c r="H109" s="92">
        <v>8.3532544167279212</v>
      </c>
      <c r="I109" s="92">
        <v>8.2440649921791156</v>
      </c>
      <c r="J109" s="92">
        <v>8.3526437725861218</v>
      </c>
      <c r="K109" s="92">
        <v>7.8936726956241499</v>
      </c>
      <c r="L109" s="92">
        <v>7.992694024138399</v>
      </c>
      <c r="M109" s="92">
        <v>7.5728753567251736</v>
      </c>
      <c r="N109" s="92">
        <v>7.1984087365577967</v>
      </c>
      <c r="O109" s="92">
        <v>7.0235942058804905</v>
      </c>
      <c r="P109" s="92">
        <v>6.8214145699555599</v>
      </c>
      <c r="Q109" s="92">
        <v>6.5994476640811559</v>
      </c>
      <c r="R109" s="92">
        <v>6.3809110429946427</v>
      </c>
      <c r="S109" s="92">
        <v>6.2155609506094649</v>
      </c>
      <c r="T109" s="92">
        <v>5.648646884230911</v>
      </c>
      <c r="U109" s="92">
        <v>4.3998034499811132</v>
      </c>
      <c r="V109" s="92">
        <v>3.774926276251513</v>
      </c>
      <c r="W109" s="92">
        <v>3.2132981368954261</v>
      </c>
      <c r="X109" s="92">
        <v>2.7548626508710634</v>
      </c>
      <c r="Y109" s="92">
        <v>2.3123983149112535</v>
      </c>
      <c r="Z109" s="92">
        <v>1.919092897644439</v>
      </c>
      <c r="AA109" s="92">
        <v>1.5950864482330394</v>
      </c>
      <c r="AB109" s="92">
        <v>1.3317141374640591</v>
      </c>
      <c r="AC109" s="92">
        <v>1.124375267110608</v>
      </c>
      <c r="AD109" s="92">
        <v>0.9182625775999409</v>
      </c>
      <c r="AE109" s="203">
        <v>0.74498999634533147</v>
      </c>
      <c r="AF109" s="92">
        <v>0.44697866149275844</v>
      </c>
      <c r="AG109" s="92">
        <v>0.3904931049197109</v>
      </c>
      <c r="AH109" s="92">
        <v>0.36428895360764335</v>
      </c>
      <c r="AI109" s="440" t="s">
        <v>482</v>
      </c>
      <c r="AJ109" s="441"/>
      <c r="AK109" s="441"/>
      <c r="AL109" s="441"/>
      <c r="AM109" s="441"/>
      <c r="AN109" s="441"/>
      <c r="AO109" s="441"/>
      <c r="AP109" s="442"/>
    </row>
    <row r="110" spans="1:42" ht="24">
      <c r="A110" s="100" t="s">
        <v>451</v>
      </c>
      <c r="B110" s="92">
        <v>1.7214266697391387E-2</v>
      </c>
      <c r="C110" s="92">
        <v>1.7283296294109726E-2</v>
      </c>
      <c r="D110" s="92">
        <v>1.7291918540266921E-2</v>
      </c>
      <c r="E110" s="92">
        <v>1.7324042025195024E-2</v>
      </c>
      <c r="F110" s="92">
        <v>1.8431724784489185E-2</v>
      </c>
      <c r="G110" s="92">
        <v>1.8554201769612141E-2</v>
      </c>
      <c r="H110" s="92">
        <v>1.8145722312406801E-2</v>
      </c>
      <c r="I110" s="92">
        <v>1.8341158752518634E-2</v>
      </c>
      <c r="J110" s="92">
        <v>1.9616436080432439E-2</v>
      </c>
      <c r="K110" s="92">
        <v>2.4460353040692957E-2</v>
      </c>
      <c r="L110" s="92">
        <v>2.8957026051342486E-2</v>
      </c>
      <c r="M110" s="92">
        <v>3.0531702030839374E-2</v>
      </c>
      <c r="N110" s="92">
        <v>2.8227264126893692E-2</v>
      </c>
      <c r="O110" s="92">
        <v>2.677866057763785E-2</v>
      </c>
      <c r="P110" s="92">
        <v>2.3806746993524402E-2</v>
      </c>
      <c r="Q110" s="92">
        <v>2.0813938947391808E-2</v>
      </c>
      <c r="R110" s="92">
        <v>2.1990371109176943E-2</v>
      </c>
      <c r="S110" s="92">
        <v>2.1261762806249904E-2</v>
      </c>
      <c r="T110" s="92">
        <v>1.8159423823093334E-2</v>
      </c>
      <c r="U110" s="92">
        <v>1.7555764539269075E-2</v>
      </c>
      <c r="V110" s="92">
        <v>1.4846830248446886E-2</v>
      </c>
      <c r="W110" s="92">
        <v>1.2252641352726062E-2</v>
      </c>
      <c r="X110" s="92">
        <v>1.1566289264687918E-2</v>
      </c>
      <c r="Y110" s="92">
        <v>1.1897695906922669E-2</v>
      </c>
      <c r="Z110" s="92">
        <v>1.0376270389750928E-2</v>
      </c>
      <c r="AA110" s="92">
        <v>1.184089314704735E-2</v>
      </c>
      <c r="AB110" s="92">
        <v>1.1751072421975454E-2</v>
      </c>
      <c r="AC110" s="92">
        <v>1.1777025359125597E-2</v>
      </c>
      <c r="AD110" s="92">
        <v>1.2378576656237953E-2</v>
      </c>
      <c r="AE110" s="92">
        <v>7.9704787593960196E-3</v>
      </c>
      <c r="AF110" s="92">
        <v>8.927244541365776E-3</v>
      </c>
      <c r="AG110" s="92">
        <v>9.5458708447000527E-3</v>
      </c>
      <c r="AH110" s="92">
        <v>1.0489293442451593E-2</v>
      </c>
      <c r="AI110" s="440" t="s">
        <v>482</v>
      </c>
      <c r="AJ110" s="441"/>
      <c r="AK110" s="441"/>
      <c r="AL110" s="441"/>
      <c r="AM110" s="441"/>
      <c r="AN110" s="441"/>
      <c r="AO110" s="441"/>
      <c r="AP110" s="442"/>
    </row>
    <row r="111" spans="1:42">
      <c r="A111" s="100" t="s">
        <v>452</v>
      </c>
      <c r="B111" s="92">
        <v>3.6265250536292912E-2</v>
      </c>
      <c r="C111" s="92">
        <v>3.5021677731593766E-2</v>
      </c>
      <c r="D111" s="92">
        <v>3.5169302890949189E-2</v>
      </c>
      <c r="E111" s="92">
        <v>0.25626371498239103</v>
      </c>
      <c r="F111" s="92">
        <v>0.149537930164374</v>
      </c>
      <c r="G111" s="92">
        <v>9.8013917144778293E-2</v>
      </c>
      <c r="H111" s="92">
        <v>9.4815813550266026E-2</v>
      </c>
      <c r="I111" s="92">
        <v>7.1343966881960111E-2</v>
      </c>
      <c r="J111" s="92">
        <v>6.6356133598239386E-2</v>
      </c>
      <c r="K111" s="92">
        <v>6.4448301377917738E-2</v>
      </c>
      <c r="L111" s="92">
        <v>0.13265409563032171</v>
      </c>
      <c r="M111" s="92">
        <v>1.7549461726913329</v>
      </c>
      <c r="N111" s="92">
        <v>1.4880951338704644</v>
      </c>
      <c r="O111" s="92">
        <v>1.7757841616849073</v>
      </c>
      <c r="P111" s="92">
        <v>1.6360321767775665</v>
      </c>
      <c r="Q111" s="92">
        <v>1.4327930081096805</v>
      </c>
      <c r="R111" s="92">
        <v>1.6081480627100073</v>
      </c>
      <c r="S111" s="92">
        <v>1.6485990749271575</v>
      </c>
      <c r="T111" s="92">
        <v>1.7158412907144893</v>
      </c>
      <c r="U111" s="92">
        <v>1.5069961921641519</v>
      </c>
      <c r="V111" s="92">
        <v>1.428407574265897</v>
      </c>
      <c r="W111" s="92">
        <v>3.1091620010291239</v>
      </c>
      <c r="X111" s="92">
        <v>3.3352364207470959</v>
      </c>
      <c r="Y111" s="92">
        <v>3.6496337610356928</v>
      </c>
      <c r="Z111" s="92">
        <v>4.180300880554686</v>
      </c>
      <c r="AA111" s="92">
        <v>4.3375632283818071</v>
      </c>
      <c r="AB111" s="92">
        <v>4.7860188461865665</v>
      </c>
      <c r="AC111" s="92">
        <v>5.3449717788365056</v>
      </c>
      <c r="AD111" s="92">
        <v>6.1667770522809189</v>
      </c>
      <c r="AE111" s="92">
        <v>7.646247042732238</v>
      </c>
      <c r="AF111" s="92">
        <v>9.2189535538005121</v>
      </c>
      <c r="AG111" s="92">
        <v>12.859559283328521</v>
      </c>
      <c r="AH111" s="92">
        <v>13.485753333055037</v>
      </c>
      <c r="AI111" s="440" t="s">
        <v>482</v>
      </c>
      <c r="AJ111" s="441"/>
      <c r="AK111" s="441"/>
      <c r="AL111" s="441"/>
      <c r="AM111" s="441"/>
      <c r="AN111" s="441"/>
      <c r="AO111" s="441"/>
      <c r="AP111" s="442"/>
    </row>
    <row r="112" spans="1:42" ht="24">
      <c r="A112" s="100" t="s">
        <v>453</v>
      </c>
      <c r="B112" s="92">
        <v>0</v>
      </c>
      <c r="C112" s="92">
        <v>0</v>
      </c>
      <c r="D112" s="92">
        <v>0</v>
      </c>
      <c r="E112" s="92">
        <v>0</v>
      </c>
      <c r="F112" s="92">
        <v>0</v>
      </c>
      <c r="G112" s="92">
        <v>0</v>
      </c>
      <c r="H112" s="92">
        <v>0</v>
      </c>
      <c r="I112" s="92">
        <v>0</v>
      </c>
      <c r="J112" s="92">
        <v>0</v>
      </c>
      <c r="K112" s="92">
        <v>0</v>
      </c>
      <c r="L112" s="92">
        <v>0</v>
      </c>
      <c r="M112" s="92">
        <v>0</v>
      </c>
      <c r="N112" s="92">
        <v>0</v>
      </c>
      <c r="O112" s="92">
        <v>0</v>
      </c>
      <c r="P112" s="92">
        <v>0</v>
      </c>
      <c r="Q112" s="92">
        <v>0</v>
      </c>
      <c r="R112" s="92">
        <v>0</v>
      </c>
      <c r="S112" s="92">
        <v>0</v>
      </c>
      <c r="T112" s="92">
        <v>0</v>
      </c>
      <c r="U112" s="92">
        <v>0</v>
      </c>
      <c r="V112" s="92">
        <v>0</v>
      </c>
      <c r="W112" s="92">
        <v>0</v>
      </c>
      <c r="X112" s="92">
        <v>0</v>
      </c>
      <c r="Y112" s="92">
        <v>0</v>
      </c>
      <c r="Z112" s="92">
        <v>0</v>
      </c>
      <c r="AA112" s="92">
        <v>0</v>
      </c>
      <c r="AB112" s="92">
        <v>0</v>
      </c>
      <c r="AC112" s="92">
        <v>0</v>
      </c>
      <c r="AD112" s="92">
        <v>0</v>
      </c>
      <c r="AE112" s="92">
        <v>0</v>
      </c>
      <c r="AF112" s="92">
        <v>0</v>
      </c>
      <c r="AG112" s="92">
        <v>0</v>
      </c>
      <c r="AH112" s="92">
        <v>0</v>
      </c>
      <c r="AI112" s="440" t="s">
        <v>482</v>
      </c>
      <c r="AJ112" s="441"/>
      <c r="AK112" s="441"/>
      <c r="AL112" s="441"/>
      <c r="AM112" s="441"/>
      <c r="AN112" s="441"/>
      <c r="AO112" s="441"/>
      <c r="AP112" s="442"/>
    </row>
    <row r="113" spans="1:42" ht="24">
      <c r="A113" s="100" t="s">
        <v>454</v>
      </c>
      <c r="B113" s="92">
        <v>37.012168963627417</v>
      </c>
      <c r="C113" s="92">
        <v>36.802024967131224</v>
      </c>
      <c r="D113" s="92">
        <v>37.135298423835827</v>
      </c>
      <c r="E113" s="92">
        <v>45.610929599473295</v>
      </c>
      <c r="F113" s="92">
        <v>39.284242527018016</v>
      </c>
      <c r="G113" s="92">
        <v>33.78802046433983</v>
      </c>
      <c r="H113" s="92">
        <v>33.465110333781325</v>
      </c>
      <c r="I113" s="92">
        <v>40.095795879411959</v>
      </c>
      <c r="J113" s="92">
        <v>48.300920152181092</v>
      </c>
      <c r="K113" s="92">
        <v>48.403583557898699</v>
      </c>
      <c r="L113" s="92">
        <v>49.739021164649493</v>
      </c>
      <c r="M113" s="92">
        <v>50.13317884326576</v>
      </c>
      <c r="N113" s="92">
        <v>50.424968340085044</v>
      </c>
      <c r="O113" s="92">
        <v>45.729016981801699</v>
      </c>
      <c r="P113" s="92">
        <v>43.825824002020532</v>
      </c>
      <c r="Q113" s="92">
        <v>40.280928353580492</v>
      </c>
      <c r="R113" s="92">
        <v>35.549775534319863</v>
      </c>
      <c r="S113" s="92">
        <v>31.71250778930365</v>
      </c>
      <c r="T113" s="92">
        <v>28.099423739480642</v>
      </c>
      <c r="U113" s="92">
        <v>25.777298988840329</v>
      </c>
      <c r="V113" s="92">
        <v>22.525534064933915</v>
      </c>
      <c r="W113" s="92">
        <v>20.458117336611842</v>
      </c>
      <c r="X113" s="92">
        <v>18.553536249763756</v>
      </c>
      <c r="Y113" s="92">
        <v>16.896670295231733</v>
      </c>
      <c r="Z113" s="92">
        <v>15.464018615660656</v>
      </c>
      <c r="AA113" s="92">
        <v>14.638700569944264</v>
      </c>
      <c r="AB113" s="92">
        <v>14.200818981265755</v>
      </c>
      <c r="AC113" s="92">
        <v>13.723170009342063</v>
      </c>
      <c r="AD113" s="92">
        <v>13.376456659134064</v>
      </c>
      <c r="AE113" s="92">
        <v>13.049006292583858</v>
      </c>
      <c r="AF113" s="92">
        <v>10.772452038998177</v>
      </c>
      <c r="AG113" s="92">
        <v>10.855061536047653</v>
      </c>
      <c r="AH113" s="92">
        <v>12.044708820776492</v>
      </c>
      <c r="AI113" s="338">
        <v>10.85273401962278</v>
      </c>
      <c r="AJ113" s="338">
        <f>AI113+(AK113-AI113)/2</f>
        <v>10.826192548360552</v>
      </c>
      <c r="AK113" s="338">
        <v>10.799651077098325</v>
      </c>
      <c r="AL113" s="338">
        <f>AK113+(AN113-AK113)/3</f>
        <v>10.280197641561992</v>
      </c>
      <c r="AM113" s="338">
        <f>AK113+(AN113-AK113)*2/3</f>
        <v>9.7607442060256613</v>
      </c>
      <c r="AN113" s="338">
        <v>9.2412907704893286</v>
      </c>
      <c r="AO113" s="338">
        <f>AN113+(AP113-AN113)/2</f>
        <v>8.7005697662017134</v>
      </c>
      <c r="AP113" s="338">
        <v>8.1598487619140965</v>
      </c>
    </row>
    <row r="114" spans="1:42" ht="24">
      <c r="A114" s="100" t="s">
        <v>455</v>
      </c>
      <c r="B114" s="92">
        <v>0</v>
      </c>
      <c r="C114" s="92">
        <v>0</v>
      </c>
      <c r="D114" s="92">
        <v>0.19049019177882237</v>
      </c>
      <c r="E114" s="92">
        <v>0.52180541506906164</v>
      </c>
      <c r="F114" s="92">
        <v>0.79020897843172455</v>
      </c>
      <c r="G114" s="92">
        <v>1.0602294632471625</v>
      </c>
      <c r="H114" s="92">
        <v>1.308162549251767</v>
      </c>
      <c r="I114" s="92">
        <v>1.5555923066906256</v>
      </c>
      <c r="J114" s="92">
        <v>1.7223146349836873</v>
      </c>
      <c r="K114" s="92">
        <v>1.8175033490774721</v>
      </c>
      <c r="L114" s="92">
        <v>1.7382838512433993</v>
      </c>
      <c r="M114" s="92">
        <v>1.5694879355923133</v>
      </c>
      <c r="N114" s="92">
        <v>1.3686762854327796</v>
      </c>
      <c r="O114" s="92">
        <v>1.1319351664557784</v>
      </c>
      <c r="P114" s="92">
        <v>0.88608927748763677</v>
      </c>
      <c r="Q114" s="92">
        <v>0.67210157588134123</v>
      </c>
      <c r="R114" s="92">
        <v>0.51836935429694575</v>
      </c>
      <c r="S114" s="92">
        <v>0.41691184976916984</v>
      </c>
      <c r="T114" s="92">
        <v>0.33513358531212539</v>
      </c>
      <c r="U114" s="92">
        <v>0.28012528862180791</v>
      </c>
      <c r="V114" s="92">
        <v>0.2426617130913688</v>
      </c>
      <c r="W114" s="92">
        <v>0.20902477074137249</v>
      </c>
      <c r="X114" s="92">
        <v>0.18177315080790143</v>
      </c>
      <c r="Y114" s="92">
        <v>0.14528187896512185</v>
      </c>
      <c r="Z114" s="92">
        <v>0.11201518638949272</v>
      </c>
      <c r="AA114" s="92">
        <v>9.4229629795775469E-2</v>
      </c>
      <c r="AB114" s="92">
        <v>8.0789853422266689E-2</v>
      </c>
      <c r="AC114" s="92">
        <v>7.1582694707835987E-2</v>
      </c>
      <c r="AD114" s="92">
        <v>6.3623480743082772E-2</v>
      </c>
      <c r="AE114" s="92">
        <v>5.5423936475323884E-2</v>
      </c>
      <c r="AF114" s="92">
        <v>4.7179397511156719E-2</v>
      </c>
      <c r="AG114" s="92">
        <v>3.9624060234183814E-2</v>
      </c>
      <c r="AH114" s="92">
        <v>3.0816513125989046E-2</v>
      </c>
      <c r="AI114" s="338">
        <v>2.6549498516997276E-2</v>
      </c>
      <c r="AJ114" s="338">
        <f t="shared" ref="AJ114:AJ117" si="48">AI114+(AK114-AI114)/2</f>
        <v>2.1255453839919967E-2</v>
      </c>
      <c r="AK114" s="338">
        <v>1.5961409162842655E-2</v>
      </c>
      <c r="AL114" s="338">
        <f t="shared" ref="AL114:AL117" si="49">AK114+(AN114-AK114)/3</f>
        <v>1.2966585665879125E-2</v>
      </c>
      <c r="AM114" s="338">
        <f t="shared" ref="AM114:AM117" si="50">AK114+(AN114-AK114)*2/3</f>
        <v>9.9717621689155954E-3</v>
      </c>
      <c r="AN114" s="338">
        <v>6.9769386719520645E-3</v>
      </c>
      <c r="AO114" s="338">
        <f t="shared" ref="AO114:AO117" si="51">AN114+(AP114-AN114)/2</f>
        <v>5.6847937670772061E-3</v>
      </c>
      <c r="AP114" s="338">
        <v>4.3926488622023476E-3</v>
      </c>
    </row>
    <row r="115" spans="1:42" ht="24">
      <c r="A115" s="100" t="s">
        <v>456</v>
      </c>
      <c r="B115" s="92">
        <v>0</v>
      </c>
      <c r="C115" s="92">
        <v>0</v>
      </c>
      <c r="D115" s="92">
        <v>0</v>
      </c>
      <c r="E115" s="92">
        <v>0</v>
      </c>
      <c r="F115" s="92">
        <v>0</v>
      </c>
      <c r="G115" s="92">
        <v>0</v>
      </c>
      <c r="H115" s="92">
        <v>0</v>
      </c>
      <c r="I115" s="92">
        <v>0</v>
      </c>
      <c r="J115" s="92">
        <v>0</v>
      </c>
      <c r="K115" s="92">
        <v>0</v>
      </c>
      <c r="L115" s="92">
        <v>0</v>
      </c>
      <c r="M115" s="92">
        <v>0</v>
      </c>
      <c r="N115" s="92">
        <v>0</v>
      </c>
      <c r="O115" s="92">
        <v>0</v>
      </c>
      <c r="P115" s="92">
        <v>0</v>
      </c>
      <c r="Q115" s="92">
        <v>0</v>
      </c>
      <c r="R115" s="92">
        <v>0</v>
      </c>
      <c r="S115" s="92">
        <v>0</v>
      </c>
      <c r="T115" s="92">
        <v>0</v>
      </c>
      <c r="U115" s="92">
        <v>0</v>
      </c>
      <c r="V115" s="92">
        <v>0</v>
      </c>
      <c r="W115" s="92">
        <v>0</v>
      </c>
      <c r="X115" s="92">
        <v>0</v>
      </c>
      <c r="Y115" s="92">
        <v>0</v>
      </c>
      <c r="Z115" s="92">
        <v>0</v>
      </c>
      <c r="AA115" s="92">
        <v>0</v>
      </c>
      <c r="AB115" s="92">
        <v>0</v>
      </c>
      <c r="AC115" s="92">
        <v>0</v>
      </c>
      <c r="AD115" s="92">
        <v>0</v>
      </c>
      <c r="AE115" s="92">
        <v>0</v>
      </c>
      <c r="AF115" s="92">
        <v>0</v>
      </c>
      <c r="AG115" s="92">
        <v>0</v>
      </c>
      <c r="AH115" s="92">
        <v>0</v>
      </c>
      <c r="AI115" s="338">
        <v>0</v>
      </c>
      <c r="AJ115" s="338">
        <f t="shared" si="48"/>
        <v>0</v>
      </c>
      <c r="AK115" s="338">
        <v>0</v>
      </c>
      <c r="AL115" s="338">
        <f t="shared" si="49"/>
        <v>0</v>
      </c>
      <c r="AM115" s="338">
        <f t="shared" si="50"/>
        <v>0</v>
      </c>
      <c r="AN115" s="338">
        <v>0</v>
      </c>
      <c r="AO115" s="338">
        <f t="shared" si="51"/>
        <v>0</v>
      </c>
      <c r="AP115" s="338">
        <v>0</v>
      </c>
    </row>
    <row r="116" spans="1:42">
      <c r="A116" s="124" t="s">
        <v>457</v>
      </c>
      <c r="B116" s="126">
        <v>1073.2994915689878</v>
      </c>
      <c r="C116" s="126">
        <v>1068.2065730167851</v>
      </c>
      <c r="D116" s="126">
        <v>1066.9897038976526</v>
      </c>
      <c r="E116" s="126">
        <v>1016.3578995042024</v>
      </c>
      <c r="F116" s="126">
        <v>933.37747138583018</v>
      </c>
      <c r="G116" s="126">
        <v>860.09644565154599</v>
      </c>
      <c r="H116" s="126">
        <v>798.13063578052322</v>
      </c>
      <c r="I116" s="126">
        <v>756.66554204604211</v>
      </c>
      <c r="J116" s="126">
        <v>720.09680946560434</v>
      </c>
      <c r="K116" s="126">
        <v>693.33221183562966</v>
      </c>
      <c r="L116" s="126">
        <v>633.87366973278392</v>
      </c>
      <c r="M116" s="126">
        <v>603.60697712143076</v>
      </c>
      <c r="N116" s="126">
        <v>560.10377503641803</v>
      </c>
      <c r="O116" s="126">
        <v>509.51052634336594</v>
      </c>
      <c r="P116" s="126">
        <v>466.91137416139486</v>
      </c>
      <c r="Q116" s="126">
        <v>420.52942496492255</v>
      </c>
      <c r="R116" s="126">
        <v>375.35659376557925</v>
      </c>
      <c r="S116" s="126">
        <v>334.50806022628643</v>
      </c>
      <c r="T116" s="126">
        <v>288.16966605774786</v>
      </c>
      <c r="U116" s="126">
        <v>259.93633842908235</v>
      </c>
      <c r="V116" s="126">
        <v>232.79660808929825</v>
      </c>
      <c r="W116" s="126">
        <v>210.21007783981926</v>
      </c>
      <c r="X116" s="126">
        <v>187.54006977061846</v>
      </c>
      <c r="Y116" s="126">
        <v>170.86944084518476</v>
      </c>
      <c r="Z116" s="126">
        <v>155.96429792108293</v>
      </c>
      <c r="AA116" s="126">
        <v>152.13327028710759</v>
      </c>
      <c r="AB116" s="126">
        <v>150.17173521120228</v>
      </c>
      <c r="AC116" s="126">
        <v>150.19323665485513</v>
      </c>
      <c r="AD116" s="126">
        <v>151.5192147855183</v>
      </c>
      <c r="AE116" s="126">
        <v>156.17066495046754</v>
      </c>
      <c r="AF116" s="126">
        <v>132.53857768705393</v>
      </c>
      <c r="AG116" s="126">
        <v>158.42806691475255</v>
      </c>
      <c r="AH116" s="126">
        <v>171.43290830946242</v>
      </c>
      <c r="AI116" s="349">
        <v>183.31844299769895</v>
      </c>
      <c r="AJ116" s="349">
        <f t="shared" ref="AJ116:AO116" si="52">SUM(AJ95:AJ115)</f>
        <v>195.87274447008056</v>
      </c>
      <c r="AK116" s="349">
        <v>208.42704594246203</v>
      </c>
      <c r="AL116" s="349">
        <f t="shared" si="52"/>
        <v>205.79979068171301</v>
      </c>
      <c r="AM116" s="349">
        <f t="shared" si="52"/>
        <v>203.17253542096398</v>
      </c>
      <c r="AN116" s="349">
        <v>200.54528016021501</v>
      </c>
      <c r="AO116" s="349">
        <f t="shared" si="52"/>
        <v>197.49501420325714</v>
      </c>
      <c r="AP116" s="349">
        <v>194.44474824629935</v>
      </c>
    </row>
    <row r="117" spans="1:42" ht="24">
      <c r="A117" s="100" t="s">
        <v>60</v>
      </c>
      <c r="B117" s="92">
        <v>4.2934049484546151</v>
      </c>
      <c r="C117" s="92">
        <v>4.1588355396224559</v>
      </c>
      <c r="D117" s="92">
        <v>3.9601854599178394</v>
      </c>
      <c r="E117" s="92">
        <v>3.6643463627233306</v>
      </c>
      <c r="F117" s="92">
        <v>3.4026836233274644</v>
      </c>
      <c r="G117" s="92">
        <v>3.251026035595983</v>
      </c>
      <c r="H117" s="92">
        <v>3.1484969622000518</v>
      </c>
      <c r="I117" s="92">
        <v>3.118592649126239</v>
      </c>
      <c r="J117" s="92">
        <v>2.9680030725759643</v>
      </c>
      <c r="K117" s="92">
        <v>2.9904313073813236</v>
      </c>
      <c r="L117" s="92">
        <v>3.0438318664417054</v>
      </c>
      <c r="M117" s="92">
        <v>2.8943103010726388</v>
      </c>
      <c r="N117" s="92">
        <v>2.9797511955692482</v>
      </c>
      <c r="O117" s="92">
        <v>2.8515898538243345</v>
      </c>
      <c r="P117" s="92">
        <v>2.8088694065760293</v>
      </c>
      <c r="Q117" s="92">
        <v>2.5418666112741253</v>
      </c>
      <c r="R117" s="92">
        <v>2.4752839729734961</v>
      </c>
      <c r="S117" s="92">
        <v>2.3837055583074451</v>
      </c>
      <c r="T117" s="92">
        <v>2.4782706278498083</v>
      </c>
      <c r="U117" s="92">
        <v>2.2671395245067165</v>
      </c>
      <c r="V117" s="92">
        <v>2.1409797906329646</v>
      </c>
      <c r="W117" s="92">
        <v>2.1775820362476583</v>
      </c>
      <c r="X117" s="92">
        <v>2.0906117159065252</v>
      </c>
      <c r="Y117" s="92">
        <v>2.0659361224333135</v>
      </c>
      <c r="Z117" s="92">
        <v>1.7660204691871879</v>
      </c>
      <c r="AA117" s="92">
        <v>1.9661092889347445</v>
      </c>
      <c r="AB117" s="92">
        <v>1.6405983004389746</v>
      </c>
      <c r="AC117" s="92">
        <v>1.7409384849976008</v>
      </c>
      <c r="AD117" s="92">
        <v>1.5531802285786473</v>
      </c>
      <c r="AE117" s="92">
        <v>1.555829962552681</v>
      </c>
      <c r="AF117" s="92">
        <v>1.2969381864533915</v>
      </c>
      <c r="AG117" s="92">
        <v>1.4868237092929819</v>
      </c>
      <c r="AH117" s="92">
        <v>1.48007493107406</v>
      </c>
      <c r="AI117" s="338">
        <v>1.4183474363040625</v>
      </c>
      <c r="AJ117" s="338">
        <f t="shared" si="48"/>
        <v>1.4589357265970699</v>
      </c>
      <c r="AK117" s="338">
        <v>1.4995240168900772</v>
      </c>
      <c r="AL117" s="338">
        <f t="shared" si="49"/>
        <v>1.4403655592408366</v>
      </c>
      <c r="AM117" s="338">
        <f t="shared" si="50"/>
        <v>1.3812071015915963</v>
      </c>
      <c r="AN117" s="338">
        <v>1.3220486439423558</v>
      </c>
      <c r="AO117" s="338">
        <f t="shared" si="51"/>
        <v>1.2627032537871243</v>
      </c>
      <c r="AP117" s="338">
        <v>1.2033578636318931</v>
      </c>
    </row>
    <row r="118" spans="1:42" ht="36">
      <c r="A118" s="100" t="s">
        <v>458</v>
      </c>
      <c r="B118" s="92">
        <v>0.33320195343383585</v>
      </c>
      <c r="C118" s="92">
        <v>0.36809591571554001</v>
      </c>
      <c r="D118" s="92">
        <v>0.38555434814064538</v>
      </c>
      <c r="E118" s="92">
        <v>0.24884193600000001</v>
      </c>
      <c r="F118" s="92">
        <v>0.25307108767172165</v>
      </c>
      <c r="G118" s="92">
        <v>0.25112863427109977</v>
      </c>
      <c r="H118" s="92">
        <v>0.25575737674094712</v>
      </c>
      <c r="I118" s="92">
        <v>0.24509646842661037</v>
      </c>
      <c r="J118" s="92">
        <v>0.26937214205607485</v>
      </c>
      <c r="K118" s="92">
        <v>0.31907804097964693</v>
      </c>
      <c r="L118" s="92">
        <v>0.32053597271479017</v>
      </c>
      <c r="M118" s="92">
        <v>0.27716008314294904</v>
      </c>
      <c r="N118" s="92">
        <v>0.29984712724642154</v>
      </c>
      <c r="O118" s="92">
        <v>0.3079486635001335</v>
      </c>
      <c r="P118" s="92">
        <v>0.31779533976716512</v>
      </c>
      <c r="Q118" s="92">
        <v>0.3531145747603342</v>
      </c>
      <c r="R118" s="92">
        <v>0.35244775131207812</v>
      </c>
      <c r="S118" s="92">
        <v>0.3312429622079005</v>
      </c>
      <c r="T118" s="92">
        <v>0.33772993664869927</v>
      </c>
      <c r="U118" s="92">
        <v>0.3599413527354744</v>
      </c>
      <c r="V118" s="92">
        <v>0.37643886014922834</v>
      </c>
      <c r="W118" s="92">
        <v>0.37027082434616376</v>
      </c>
      <c r="X118" s="92">
        <v>0.3690904517400892</v>
      </c>
      <c r="Y118" s="92">
        <v>0.3688357569972831</v>
      </c>
      <c r="Z118" s="92">
        <v>0.35641126830723752</v>
      </c>
      <c r="AA118" s="92">
        <v>0.34027925059611464</v>
      </c>
      <c r="AB118" s="92">
        <v>0.30861274234126218</v>
      </c>
      <c r="AC118" s="92">
        <v>0.29283346732653698</v>
      </c>
      <c r="AD118" s="92">
        <v>0.31112937251830264</v>
      </c>
      <c r="AE118" s="92">
        <v>0.34121869885166978</v>
      </c>
      <c r="AF118" s="92">
        <v>0.31405468870877334</v>
      </c>
      <c r="AG118" s="92">
        <v>0.33400891927501641</v>
      </c>
      <c r="AH118" s="92">
        <v>0.34278923101685166</v>
      </c>
      <c r="AI118" s="338">
        <v>0.32634351746261014</v>
      </c>
      <c r="AJ118" s="338">
        <f>AI118+(AK118-AI118)/2</f>
        <v>0.34215048609453885</v>
      </c>
      <c r="AK118" s="338">
        <v>0.35795745472646756</v>
      </c>
      <c r="AL118" s="338">
        <f>AK118+(AN118-AK118)/3</f>
        <v>0.37023483298901122</v>
      </c>
      <c r="AM118" s="338">
        <f>AK118+(AN118-AK118)*2/3</f>
        <v>0.38251221125155493</v>
      </c>
      <c r="AN118" s="338">
        <v>0.39478958951409859</v>
      </c>
      <c r="AO118" s="338">
        <f>AN118+(AP118-AN118)/2</f>
        <v>0.40706696777664209</v>
      </c>
      <c r="AP118" s="338">
        <v>0.41934434603918558</v>
      </c>
    </row>
    <row r="119" spans="1:42" ht="36">
      <c r="A119" s="100" t="s">
        <v>459</v>
      </c>
      <c r="B119" s="92">
        <v>4.4569120974945875</v>
      </c>
      <c r="C119" s="92">
        <v>4.835466272862746</v>
      </c>
      <c r="D119" s="92">
        <v>4.4329654904326432</v>
      </c>
      <c r="E119" s="92">
        <v>4.9568988366013578</v>
      </c>
      <c r="F119" s="92">
        <v>4.715748363455357</v>
      </c>
      <c r="G119" s="92">
        <v>4.5476256767459571</v>
      </c>
      <c r="H119" s="92">
        <v>4.4026470581120414</v>
      </c>
      <c r="I119" s="92">
        <v>4.4318501740151239</v>
      </c>
      <c r="J119" s="92">
        <v>4.4633642394114847</v>
      </c>
      <c r="K119" s="92">
        <v>4.696226102931953</v>
      </c>
      <c r="L119" s="92">
        <v>4.4663638562007897</v>
      </c>
      <c r="M119" s="92">
        <v>4.7112566148462678</v>
      </c>
      <c r="N119" s="92">
        <v>4.5714408200748329</v>
      </c>
      <c r="O119" s="92">
        <v>4.6169103469795099</v>
      </c>
      <c r="P119" s="92">
        <v>4.1688620978110977</v>
      </c>
      <c r="Q119" s="92">
        <v>4.0302893189841518</v>
      </c>
      <c r="R119" s="92">
        <v>3.6542022220725512</v>
      </c>
      <c r="S119" s="92">
        <v>3.4437920651948013</v>
      </c>
      <c r="T119" s="92">
        <v>3.1955409692541821</v>
      </c>
      <c r="U119" s="92">
        <v>3.2707665121683376</v>
      </c>
      <c r="V119" s="92">
        <v>3.163910585206152</v>
      </c>
      <c r="W119" s="92">
        <v>3.3197891491698859</v>
      </c>
      <c r="X119" s="92">
        <v>3.3655151831626196</v>
      </c>
      <c r="Y119" s="92">
        <v>3.0378956745557728</v>
      </c>
      <c r="Z119" s="92">
        <v>3.0666063926914484</v>
      </c>
      <c r="AA119" s="92">
        <v>2.9647899709704895</v>
      </c>
      <c r="AB119" s="92">
        <v>2.8441817643806417</v>
      </c>
      <c r="AC119" s="92">
        <v>3.2337424592477584</v>
      </c>
      <c r="AD119" s="92">
        <v>2.9914878126566338</v>
      </c>
      <c r="AE119" s="92">
        <v>3.039314886616483</v>
      </c>
      <c r="AF119" s="92">
        <v>3.1376741173916582</v>
      </c>
      <c r="AG119" s="92">
        <v>3.458829177260367</v>
      </c>
      <c r="AH119" s="92">
        <v>3.4666108093034111</v>
      </c>
      <c r="AI119" s="338">
        <v>4.0703249483232096</v>
      </c>
      <c r="AJ119" s="338">
        <f t="shared" ref="AJ119:AJ121" si="53">AI119+(AK119-AI119)/2</f>
        <v>4.3316462535206846</v>
      </c>
      <c r="AK119" s="338">
        <v>4.5929675587181604</v>
      </c>
      <c r="AL119" s="338">
        <f t="shared" ref="AL119:AL121" si="54">AK119+(AN119-AK119)/3</f>
        <v>4.6747512447347672</v>
      </c>
      <c r="AM119" s="338">
        <f t="shared" ref="AM119:AM121" si="55">AK119+(AN119-AK119)*2/3</f>
        <v>4.7565349307513731</v>
      </c>
      <c r="AN119" s="338">
        <v>4.8383186167679799</v>
      </c>
      <c r="AO119" s="338">
        <f t="shared" ref="AO119:AO121" si="56">AN119+(AP119-AN119)/2</f>
        <v>4.9203714631454325</v>
      </c>
      <c r="AP119" s="338">
        <v>5.0024243095228842</v>
      </c>
    </row>
    <row r="120" spans="1:42" ht="36">
      <c r="A120" s="100" t="s">
        <v>460</v>
      </c>
      <c r="B120" s="92">
        <v>12.16405601589412</v>
      </c>
      <c r="C120" s="92">
        <v>12.553173155585666</v>
      </c>
      <c r="D120" s="92">
        <v>12.948420386419583</v>
      </c>
      <c r="E120" s="92">
        <v>13.642115702585111</v>
      </c>
      <c r="F120" s="92">
        <v>13.975373292677535</v>
      </c>
      <c r="G120" s="92">
        <v>14.766706006894097</v>
      </c>
      <c r="H120" s="92">
        <v>15.185949737428441</v>
      </c>
      <c r="I120" s="92">
        <v>15.577505260645644</v>
      </c>
      <c r="J120" s="92">
        <v>16.459436111535428</v>
      </c>
      <c r="K120" s="92">
        <v>16.935466274715964</v>
      </c>
      <c r="L120" s="92">
        <v>16.659294825608114</v>
      </c>
      <c r="M120" s="92">
        <v>17.373549259105967</v>
      </c>
      <c r="N120" s="92">
        <v>18.731046447626785</v>
      </c>
      <c r="O120" s="92">
        <v>18.832187018487296</v>
      </c>
      <c r="P120" s="92">
        <v>19.182798175093538</v>
      </c>
      <c r="Q120" s="92">
        <v>18.405873249027522</v>
      </c>
      <c r="R120" s="92">
        <v>18.310966795172369</v>
      </c>
      <c r="S120" s="92">
        <v>18.539071268637638</v>
      </c>
      <c r="T120" s="92">
        <v>19.275316280199867</v>
      </c>
      <c r="U120" s="92">
        <v>19.558938210638093</v>
      </c>
      <c r="V120" s="92">
        <v>19.372143491528956</v>
      </c>
      <c r="W120" s="92">
        <v>19.285870445816975</v>
      </c>
      <c r="X120" s="92">
        <v>20.611718358838349</v>
      </c>
      <c r="Y120" s="92">
        <v>20.789439175743109</v>
      </c>
      <c r="Z120" s="92">
        <v>20.959255748499256</v>
      </c>
      <c r="AA120" s="92">
        <v>21.032888976191654</v>
      </c>
      <c r="AB120" s="92">
        <v>21.25680558298448</v>
      </c>
      <c r="AC120" s="92">
        <v>21.362384772708079</v>
      </c>
      <c r="AD120" s="92">
        <v>21.488908177427565</v>
      </c>
      <c r="AE120" s="92">
        <v>21.751549307846972</v>
      </c>
      <c r="AF120" s="92">
        <v>21.787513448107699</v>
      </c>
      <c r="AG120" s="92">
        <v>21.909599484500703</v>
      </c>
      <c r="AH120" s="92">
        <v>24.169438528164154</v>
      </c>
      <c r="AI120" s="338">
        <v>21.259017282078648</v>
      </c>
      <c r="AJ120" s="338">
        <f t="shared" si="53"/>
        <v>21.082851893402299</v>
      </c>
      <c r="AK120" s="338">
        <v>20.90668650472595</v>
      </c>
      <c r="AL120" s="338">
        <f t="shared" si="54"/>
        <v>20.651441292932851</v>
      </c>
      <c r="AM120" s="338">
        <f t="shared" si="55"/>
        <v>20.396196081139752</v>
      </c>
      <c r="AN120" s="338">
        <v>20.140950869346653</v>
      </c>
      <c r="AO120" s="338">
        <f t="shared" si="56"/>
        <v>19.885705657553554</v>
      </c>
      <c r="AP120" s="338">
        <v>19.630460445760455</v>
      </c>
    </row>
    <row r="121" spans="1:42" ht="24">
      <c r="A121" s="100" t="s">
        <v>251</v>
      </c>
      <c r="B121" s="92">
        <v>2.1813182357862915</v>
      </c>
      <c r="C121" s="92">
        <v>2.0016572783311699</v>
      </c>
      <c r="D121" s="92">
        <v>1.9213986826698122</v>
      </c>
      <c r="E121" s="92">
        <v>1.7659489666443982</v>
      </c>
      <c r="F121" s="92">
        <v>1.690299517077426</v>
      </c>
      <c r="G121" s="92">
        <v>1.7327658170611651</v>
      </c>
      <c r="H121" s="92">
        <v>1.6280116910206701</v>
      </c>
      <c r="I121" s="92">
        <v>1.7640191739528608</v>
      </c>
      <c r="J121" s="92">
        <v>1.7043526779602356</v>
      </c>
      <c r="K121" s="92">
        <v>1.890096251867039</v>
      </c>
      <c r="L121" s="92">
        <v>1.7594761536998755</v>
      </c>
      <c r="M121" s="92">
        <v>1.6088209269995764</v>
      </c>
      <c r="N121" s="92">
        <v>1.5199708935294114</v>
      </c>
      <c r="O121" s="92">
        <v>1.4455998937148751</v>
      </c>
      <c r="P121" s="92">
        <v>1.4051532113397942</v>
      </c>
      <c r="Q121" s="92">
        <v>1.4446360737501309</v>
      </c>
      <c r="R121" s="92">
        <v>1.4411585023395088</v>
      </c>
      <c r="S121" s="92">
        <v>1.4275276949294076</v>
      </c>
      <c r="T121" s="92">
        <v>1.407827640161871</v>
      </c>
      <c r="U121" s="92">
        <v>1.4109317470810758</v>
      </c>
      <c r="V121" s="92">
        <v>1.3166614240338612</v>
      </c>
      <c r="W121" s="92">
        <v>1.3121866534251934</v>
      </c>
      <c r="X121" s="92">
        <v>1.2832754612411916</v>
      </c>
      <c r="Y121" s="92">
        <v>1.2760005478681931</v>
      </c>
      <c r="Z121" s="92">
        <v>1.2133655492279916</v>
      </c>
      <c r="AA121" s="92">
        <v>1.1848522692313932</v>
      </c>
      <c r="AB121" s="92">
        <v>1.2188338384571942</v>
      </c>
      <c r="AC121" s="92">
        <v>1.2310245014423944</v>
      </c>
      <c r="AD121" s="92">
        <v>1.2520890608813942</v>
      </c>
      <c r="AE121" s="92">
        <v>1.2619058165349939</v>
      </c>
      <c r="AF121" s="92">
        <v>0.79619564640839602</v>
      </c>
      <c r="AG121" s="92">
        <v>0.99529285351159624</v>
      </c>
      <c r="AH121" s="92">
        <v>1.2188325248333798</v>
      </c>
      <c r="AI121" s="338">
        <v>0.78325558670726503</v>
      </c>
      <c r="AJ121" s="338">
        <f t="shared" si="53"/>
        <v>0.79723129926930092</v>
      </c>
      <c r="AK121" s="338">
        <v>0.8112070118313367</v>
      </c>
      <c r="AL121" s="338">
        <f t="shared" si="54"/>
        <v>0.79742482372510648</v>
      </c>
      <c r="AM121" s="338">
        <f t="shared" si="55"/>
        <v>0.78364263561887626</v>
      </c>
      <c r="AN121" s="338">
        <v>0.76986044751264604</v>
      </c>
      <c r="AO121" s="338">
        <f t="shared" si="56"/>
        <v>0.75651597844693452</v>
      </c>
      <c r="AP121" s="338">
        <v>0.74317150938122301</v>
      </c>
    </row>
    <row r="122" spans="1:42">
      <c r="A122" s="124" t="s">
        <v>461</v>
      </c>
      <c r="B122" s="127">
        <v>23.42889325106345</v>
      </c>
      <c r="C122" s="127">
        <v>23.917228162117578</v>
      </c>
      <c r="D122" s="127">
        <v>23.648524367580521</v>
      </c>
      <c r="E122" s="125">
        <v>24.278151804554195</v>
      </c>
      <c r="F122" s="125">
        <v>24.037175884209503</v>
      </c>
      <c r="G122" s="125">
        <v>24.549252170568302</v>
      </c>
      <c r="H122" s="125">
        <v>24.620862825502151</v>
      </c>
      <c r="I122" s="125">
        <v>25.137063726166478</v>
      </c>
      <c r="J122" s="125">
        <v>25.864528243539191</v>
      </c>
      <c r="K122" s="125">
        <v>26.831297977875927</v>
      </c>
      <c r="L122" s="125">
        <v>26.249502674665276</v>
      </c>
      <c r="M122" s="125">
        <v>26.8650971851674</v>
      </c>
      <c r="N122" s="125">
        <v>28.102056484046699</v>
      </c>
      <c r="O122" s="125">
        <v>28.05423577650615</v>
      </c>
      <c r="P122" s="125">
        <v>27.883478230587624</v>
      </c>
      <c r="Q122" s="125">
        <v>26.775779827796264</v>
      </c>
      <c r="R122" s="125">
        <v>26.234059243870004</v>
      </c>
      <c r="S122" s="125">
        <v>26.125339549277189</v>
      </c>
      <c r="T122" s="125">
        <v>26.694685454114428</v>
      </c>
      <c r="U122" s="125">
        <v>26.867717347129698</v>
      </c>
      <c r="V122" s="125">
        <v>26.370134151551163</v>
      </c>
      <c r="W122" s="125">
        <v>26.465699109005875</v>
      </c>
      <c r="X122" s="125">
        <v>27.720211170888778</v>
      </c>
      <c r="Y122" s="125">
        <v>27.538107277597671</v>
      </c>
      <c r="Z122" s="125">
        <v>27.361659427913121</v>
      </c>
      <c r="AA122" s="125">
        <v>27.488919755924393</v>
      </c>
      <c r="AB122" s="125">
        <v>27.269032228602551</v>
      </c>
      <c r="AC122" s="125">
        <v>27.860923685722373</v>
      </c>
      <c r="AD122" s="125">
        <v>27.596794652062542</v>
      </c>
      <c r="AE122" s="125">
        <v>27.949818672402802</v>
      </c>
      <c r="AF122" s="125">
        <v>27.332376087069918</v>
      </c>
      <c r="AG122" s="125">
        <v>28.184554143840664</v>
      </c>
      <c r="AH122" s="125">
        <v>30.677746024391858</v>
      </c>
      <c r="AI122" s="349">
        <v>27.857288770875794</v>
      </c>
      <c r="AJ122" s="349">
        <f t="shared" ref="AJ122:AO122" si="57">SUM(AJ117:AJ121)</f>
        <v>28.012815658883895</v>
      </c>
      <c r="AK122" s="349">
        <v>28.168342546891989</v>
      </c>
      <c r="AL122" s="349">
        <f t="shared" si="57"/>
        <v>27.934217753622573</v>
      </c>
      <c r="AM122" s="349">
        <f t="shared" si="57"/>
        <v>27.700092960353153</v>
      </c>
      <c r="AN122" s="349">
        <v>27.465968167083734</v>
      </c>
      <c r="AO122" s="349">
        <f t="shared" si="57"/>
        <v>27.232363320709688</v>
      </c>
      <c r="AP122" s="349">
        <v>26.998758474335641</v>
      </c>
    </row>
    <row r="123" spans="1:42">
      <c r="A123" s="128" t="s">
        <v>462</v>
      </c>
      <c r="B123" s="130">
        <v>1096.7283848200514</v>
      </c>
      <c r="C123" s="130">
        <v>1092.1238011789028</v>
      </c>
      <c r="D123" s="130">
        <v>1090.638228265233</v>
      </c>
      <c r="E123" s="129">
        <v>1040.6360513087566</v>
      </c>
      <c r="F123" s="129">
        <v>957.41464727003972</v>
      </c>
      <c r="G123" s="129">
        <v>884.64569782211424</v>
      </c>
      <c r="H123" s="129">
        <v>822.75149860602539</v>
      </c>
      <c r="I123" s="129">
        <v>781.80260577220861</v>
      </c>
      <c r="J123" s="129">
        <v>745.96133770914355</v>
      </c>
      <c r="K123" s="129">
        <v>720.16350981350558</v>
      </c>
      <c r="L123" s="129">
        <v>660.12317240744915</v>
      </c>
      <c r="M123" s="129">
        <v>630.47207430659819</v>
      </c>
      <c r="N123" s="129">
        <v>588.2058315204647</v>
      </c>
      <c r="O123" s="129">
        <v>537.56476211987206</v>
      </c>
      <c r="P123" s="129">
        <v>494.79485239198249</v>
      </c>
      <c r="Q123" s="129">
        <v>447.30520479271883</v>
      </c>
      <c r="R123" s="129">
        <v>401.59065300944923</v>
      </c>
      <c r="S123" s="129">
        <v>360.63339977556365</v>
      </c>
      <c r="T123" s="129">
        <v>314.86435151186231</v>
      </c>
      <c r="U123" s="129">
        <v>286.80405577621207</v>
      </c>
      <c r="V123" s="129">
        <v>259.16674224084943</v>
      </c>
      <c r="W123" s="129">
        <v>236.67577694882513</v>
      </c>
      <c r="X123" s="129">
        <v>215.26028094150723</v>
      </c>
      <c r="Y123" s="129">
        <v>198.40754812278243</v>
      </c>
      <c r="Z123" s="129">
        <v>183.32595734899604</v>
      </c>
      <c r="AA123" s="129">
        <v>179.62219004303199</v>
      </c>
      <c r="AB123" s="129">
        <v>177.44076743980483</v>
      </c>
      <c r="AC123" s="129">
        <v>178.05416034057751</v>
      </c>
      <c r="AD123" s="129">
        <v>179.11600943758083</v>
      </c>
      <c r="AE123" s="129">
        <v>184.12048362287035</v>
      </c>
      <c r="AF123" s="129">
        <v>159.87095377412385</v>
      </c>
      <c r="AG123" s="129">
        <v>186.61262105859322</v>
      </c>
      <c r="AH123" s="129">
        <v>202.11065433385428</v>
      </c>
      <c r="AI123" s="350">
        <v>211.17573176857476</v>
      </c>
      <c r="AJ123" s="350">
        <f t="shared" ref="AJ123:AO123" si="58">+AJ116+AJ122</f>
        <v>223.88556012896447</v>
      </c>
      <c r="AK123" s="350">
        <v>236.59538848935401</v>
      </c>
      <c r="AL123" s="350">
        <f t="shared" si="58"/>
        <v>233.73400843533557</v>
      </c>
      <c r="AM123" s="350">
        <f t="shared" si="58"/>
        <v>230.87262838131713</v>
      </c>
      <c r="AN123" s="350">
        <v>228.01124832729872</v>
      </c>
      <c r="AO123" s="350">
        <f t="shared" si="58"/>
        <v>224.72737752396682</v>
      </c>
      <c r="AP123" s="350">
        <v>221.44350672063501</v>
      </c>
    </row>
    <row r="124" spans="1:42">
      <c r="A124" s="131"/>
      <c r="B124" s="131"/>
      <c r="C124" s="131"/>
      <c r="D124" s="131"/>
      <c r="E124" s="131"/>
      <c r="F124" s="131"/>
      <c r="G124" s="131"/>
      <c r="H124" s="131"/>
      <c r="I124" s="131"/>
      <c r="J124" s="131"/>
      <c r="K124" s="131"/>
      <c r="L124" s="131"/>
      <c r="M124" s="131"/>
      <c r="N124" s="131"/>
      <c r="O124" s="131"/>
      <c r="P124" s="131"/>
      <c r="Q124" s="131"/>
      <c r="R124" s="131"/>
      <c r="S124" s="131"/>
      <c r="T124" s="131"/>
      <c r="U124" s="131"/>
      <c r="V124" s="131"/>
      <c r="W124" s="150"/>
      <c r="X124" s="150"/>
      <c r="Y124" s="150"/>
      <c r="Z124" s="150"/>
      <c r="AA124" s="150"/>
      <c r="AB124" s="150"/>
      <c r="AC124" s="150"/>
      <c r="AD124" s="150"/>
      <c r="AE124" s="150"/>
      <c r="AF124" s="131"/>
      <c r="AG124" s="131"/>
      <c r="AH124" s="131"/>
    </row>
    <row r="125" spans="1:42" ht="60">
      <c r="A125" s="132" t="s">
        <v>463</v>
      </c>
      <c r="B125" s="133">
        <v>0.22622124656616413</v>
      </c>
      <c r="C125" s="133">
        <v>0.21637608428446006</v>
      </c>
      <c r="D125" s="133">
        <v>0.24066565185935465</v>
      </c>
      <c r="E125" s="133">
        <v>0.17698766400000002</v>
      </c>
      <c r="F125" s="133">
        <v>0.19780731232827831</v>
      </c>
      <c r="G125" s="133">
        <v>0.21644896572890027</v>
      </c>
      <c r="H125" s="133">
        <v>0.20347062325905291</v>
      </c>
      <c r="I125" s="133">
        <v>0.19743233157338969</v>
      </c>
      <c r="J125" s="133">
        <v>0.21490465794392521</v>
      </c>
      <c r="K125" s="133">
        <v>0.21160484792683359</v>
      </c>
      <c r="L125" s="133">
        <v>0.24150500721326865</v>
      </c>
      <c r="M125" s="133">
        <v>0.24068353352508171</v>
      </c>
      <c r="N125" s="133">
        <v>0.23345350399144768</v>
      </c>
      <c r="O125" s="133">
        <v>0.21964604996726758</v>
      </c>
      <c r="P125" s="133">
        <v>0.24054122402266093</v>
      </c>
      <c r="Q125" s="133">
        <v>0.24474492940285225</v>
      </c>
      <c r="R125" s="133">
        <v>0.2507728348948155</v>
      </c>
      <c r="S125" s="133">
        <v>0.23954207819785581</v>
      </c>
      <c r="T125" s="133">
        <v>0.22839779227784027</v>
      </c>
      <c r="U125" s="133">
        <v>0.19867137177956362</v>
      </c>
      <c r="V125" s="133">
        <v>0.22856556912350959</v>
      </c>
      <c r="W125" s="133">
        <v>0.21033179890563677</v>
      </c>
      <c r="X125" s="133">
        <v>0.21349129954931692</v>
      </c>
      <c r="Y125" s="133">
        <v>0.21873771404061959</v>
      </c>
      <c r="Z125" s="133">
        <v>0.21750531187120167</v>
      </c>
      <c r="AA125" s="133">
        <v>0.2105783936310015</v>
      </c>
      <c r="AB125" s="133">
        <v>0.1973255658204088</v>
      </c>
      <c r="AC125" s="133">
        <v>0.20327652501016991</v>
      </c>
      <c r="AD125" s="133">
        <v>0.18303462967300949</v>
      </c>
      <c r="AE125" s="133">
        <v>0.20027094037432996</v>
      </c>
      <c r="AF125" s="133">
        <v>0.16499808908535787</v>
      </c>
      <c r="AG125" s="133">
        <v>0.16337472494944819</v>
      </c>
      <c r="AH125" s="133">
        <v>0.16766946360165652</v>
      </c>
      <c r="AI125" s="338">
        <v>0.32538234144184702</v>
      </c>
      <c r="AJ125" s="338">
        <f t="shared" ref="AJ125" si="59">AI125+(AK125-AI125)/2</f>
        <v>0.34114275398058869</v>
      </c>
      <c r="AK125" s="338">
        <v>0.35690316651933041</v>
      </c>
      <c r="AL125" s="338">
        <f t="shared" ref="AL125" si="60">AK125+(AN125-AK125)/3</f>
        <v>0.3691443843529017</v>
      </c>
      <c r="AM125" s="338">
        <f t="shared" ref="AM125" si="61">AK125+(AN125-AK125)*2/3</f>
        <v>0.38138560218647305</v>
      </c>
      <c r="AN125" s="338">
        <v>0.39362682002004434</v>
      </c>
      <c r="AO125" s="338">
        <f t="shared" ref="AO125" si="62">AN125+(AP125-AN125)/2</f>
        <v>0.40586803785361547</v>
      </c>
      <c r="AP125" s="338">
        <v>0.41810925568718665</v>
      </c>
    </row>
    <row r="126" spans="1:42" ht="60">
      <c r="A126" s="132" t="s">
        <v>464</v>
      </c>
      <c r="B126" s="133">
        <v>19.902357480686245</v>
      </c>
      <c r="C126" s="133">
        <v>20.662563699311963</v>
      </c>
      <c r="D126" s="133">
        <v>20.014764945129659</v>
      </c>
      <c r="E126" s="133">
        <v>19.417367262834038</v>
      </c>
      <c r="F126" s="133">
        <v>17.289605288899082</v>
      </c>
      <c r="G126" s="133">
        <v>17.824039852566735</v>
      </c>
      <c r="H126" s="133">
        <v>18.75584368696752</v>
      </c>
      <c r="I126" s="133">
        <v>20.59777758092703</v>
      </c>
      <c r="J126" s="133">
        <v>22.721829827410886</v>
      </c>
      <c r="K126" s="133">
        <v>22.97166732387641</v>
      </c>
      <c r="L126" s="133">
        <v>23.738131896128436</v>
      </c>
      <c r="M126" s="133">
        <v>20.083272070780197</v>
      </c>
      <c r="N126" s="133">
        <v>19.434631263148486</v>
      </c>
      <c r="O126" s="133">
        <v>21.059667584074557</v>
      </c>
      <c r="P126" s="133">
        <v>24.011680104726718</v>
      </c>
      <c r="Q126" s="133">
        <v>21.931984920646613</v>
      </c>
      <c r="R126" s="133">
        <v>22.792034547067534</v>
      </c>
      <c r="S126" s="133">
        <v>23.396443534550883</v>
      </c>
      <c r="T126" s="133">
        <v>20.364861952182203</v>
      </c>
      <c r="U126" s="133">
        <v>20.373380907503709</v>
      </c>
      <c r="V126" s="133">
        <v>19.757688322801869</v>
      </c>
      <c r="W126" s="133">
        <v>21.183917552735359</v>
      </c>
      <c r="X126" s="133">
        <v>20.020570692794436</v>
      </c>
      <c r="Y126" s="133">
        <v>18.240103142118279</v>
      </c>
      <c r="Z126" s="133">
        <v>15.537757580001625</v>
      </c>
      <c r="AA126" s="133">
        <v>13.838351133922</v>
      </c>
      <c r="AB126" s="133">
        <v>13.160622019247461</v>
      </c>
      <c r="AC126" s="133">
        <v>13.918393532543833</v>
      </c>
      <c r="AD126" s="133">
        <v>15.708180151359631</v>
      </c>
      <c r="AE126" s="133">
        <v>13.791943339922096</v>
      </c>
      <c r="AF126" s="133">
        <v>7.7564982159313161</v>
      </c>
      <c r="AG126" s="133">
        <v>8.8306771198668805</v>
      </c>
      <c r="AH126" s="133">
        <v>9.5718366058010727</v>
      </c>
      <c r="AI126" s="338">
        <v>83.304988562540345</v>
      </c>
      <c r="AJ126" s="338">
        <f>AI126+(AK126-AI126)/2</f>
        <v>108.63487040465102</v>
      </c>
      <c r="AK126" s="338">
        <v>133.96475224676172</v>
      </c>
      <c r="AL126" s="338">
        <f>AK126+(AN126-AK126)/3</f>
        <v>145.15927040223249</v>
      </c>
      <c r="AM126" s="338">
        <f>AK126+(AN126-AK126)*2/3</f>
        <v>156.35378855770324</v>
      </c>
      <c r="AN126" s="338">
        <v>167.54830671317401</v>
      </c>
      <c r="AO126" s="338">
        <f>AN126+(AP126-AN126)/2</f>
        <v>178.74282486864479</v>
      </c>
      <c r="AP126" s="338">
        <v>189.93734302411553</v>
      </c>
    </row>
    <row r="127" spans="1:42" ht="60">
      <c r="A127" s="132" t="s">
        <v>465</v>
      </c>
      <c r="B127" s="133">
        <v>4.9607236883418997</v>
      </c>
      <c r="C127" s="133">
        <v>3.8833129999701472</v>
      </c>
      <c r="D127" s="133">
        <v>3.7745479202134264</v>
      </c>
      <c r="E127" s="133">
        <v>3.1338351156060011</v>
      </c>
      <c r="F127" s="133">
        <v>2.652855664864751</v>
      </c>
      <c r="G127" s="133">
        <v>2.6306284881792377</v>
      </c>
      <c r="H127" s="133">
        <v>2.7299749242235136</v>
      </c>
      <c r="I127" s="133">
        <v>2.7190763488547947</v>
      </c>
      <c r="J127" s="133">
        <v>2.5560437660539121</v>
      </c>
      <c r="K127" s="133">
        <v>2.4939309463402779</v>
      </c>
      <c r="L127" s="133">
        <v>2.1286638981667956</v>
      </c>
      <c r="M127" s="133">
        <v>1.9137182222195868</v>
      </c>
      <c r="N127" s="133">
        <v>1.8074777094142136</v>
      </c>
      <c r="O127" s="133">
        <v>1.8196081015650649</v>
      </c>
      <c r="P127" s="133">
        <v>1.8589538957964296</v>
      </c>
      <c r="Q127" s="133">
        <v>1.9105298023688158</v>
      </c>
      <c r="R127" s="133">
        <v>1.9726723795827352</v>
      </c>
      <c r="S127" s="133">
        <v>2.0202617800781155</v>
      </c>
      <c r="T127" s="133">
        <v>2.0395157733636862</v>
      </c>
      <c r="U127" s="133">
        <v>1.9371576860895758</v>
      </c>
      <c r="V127" s="133">
        <v>1.940672267530489</v>
      </c>
      <c r="W127" s="133">
        <v>2.0092216582760045</v>
      </c>
      <c r="X127" s="133">
        <v>2.0023386611984368</v>
      </c>
      <c r="Y127" s="133">
        <v>1.9596750476716496</v>
      </c>
      <c r="Z127" s="133">
        <v>1.9487449064328501</v>
      </c>
      <c r="AA127" s="133">
        <v>1.9885381502084576</v>
      </c>
      <c r="AB127" s="133">
        <v>2.0501838705488686</v>
      </c>
      <c r="AC127" s="133">
        <v>2.0239109567880691</v>
      </c>
      <c r="AD127" s="133">
        <v>2.022743965065664</v>
      </c>
      <c r="AE127" s="133">
        <v>2.0042222859820642</v>
      </c>
      <c r="AF127" s="133">
        <v>0.83519519014679799</v>
      </c>
      <c r="AG127" s="133">
        <v>0.99568936162360477</v>
      </c>
      <c r="AH127" s="133">
        <v>1.3523736066408885</v>
      </c>
      <c r="AI127" s="338">
        <v>1.0527024435306909</v>
      </c>
      <c r="AJ127" s="338">
        <f t="shared" ref="AJ127:AJ128" si="63">AI127+(AK127-AI127)/2</f>
        <v>1.1593093467374067</v>
      </c>
      <c r="AK127" s="338">
        <v>1.2659162499441223</v>
      </c>
      <c r="AL127" s="338">
        <f t="shared" ref="AL127:AL128" si="64">AK127+(AN127-AK127)/3</f>
        <v>1.2261777308317396</v>
      </c>
      <c r="AM127" s="338">
        <f t="shared" ref="AM127:AM128" si="65">AK127+(AN127-AK127)*2/3</f>
        <v>1.186439211719357</v>
      </c>
      <c r="AN127" s="338">
        <v>1.1467006926069743</v>
      </c>
      <c r="AO127" s="338">
        <f t="shared" ref="AO127:AO128" si="66">AN127+(AP127-AN127)/2</f>
        <v>1.1099948455532869</v>
      </c>
      <c r="AP127" s="338">
        <v>1.0732889984995995</v>
      </c>
    </row>
    <row r="128" spans="1:42" ht="36">
      <c r="A128" s="134" t="s">
        <v>466</v>
      </c>
      <c r="B128" s="135">
        <v>0</v>
      </c>
      <c r="C128" s="135">
        <v>0</v>
      </c>
      <c r="D128" s="135">
        <v>0</v>
      </c>
      <c r="E128" s="135">
        <v>0</v>
      </c>
      <c r="F128" s="135">
        <v>0</v>
      </c>
      <c r="G128" s="135">
        <v>0</v>
      </c>
      <c r="H128" s="135">
        <v>0</v>
      </c>
      <c r="I128" s="135">
        <v>0</v>
      </c>
      <c r="J128" s="135">
        <v>0</v>
      </c>
      <c r="K128" s="135">
        <v>0</v>
      </c>
      <c r="L128" s="135">
        <v>0</v>
      </c>
      <c r="M128" s="135">
        <v>0</v>
      </c>
      <c r="N128" s="135">
        <v>0</v>
      </c>
      <c r="O128" s="135">
        <v>0</v>
      </c>
      <c r="P128" s="135">
        <v>0</v>
      </c>
      <c r="Q128" s="135">
        <v>0</v>
      </c>
      <c r="R128" s="135">
        <v>0</v>
      </c>
      <c r="S128" s="135">
        <v>0</v>
      </c>
      <c r="T128" s="135">
        <v>0</v>
      </c>
      <c r="U128" s="135">
        <v>0</v>
      </c>
      <c r="V128" s="135">
        <v>0</v>
      </c>
      <c r="W128" s="135">
        <v>0</v>
      </c>
      <c r="X128" s="135">
        <v>0</v>
      </c>
      <c r="Y128" s="135">
        <v>0</v>
      </c>
      <c r="Z128" s="135">
        <v>0</v>
      </c>
      <c r="AA128" s="135">
        <v>0</v>
      </c>
      <c r="AB128" s="135">
        <v>0</v>
      </c>
      <c r="AC128" s="135">
        <v>0</v>
      </c>
      <c r="AD128" s="135">
        <v>0</v>
      </c>
      <c r="AE128" s="135">
        <v>0</v>
      </c>
      <c r="AF128" s="135">
        <v>0</v>
      </c>
      <c r="AG128" s="135">
        <v>0</v>
      </c>
      <c r="AH128" s="135">
        <v>0</v>
      </c>
      <c r="AI128" s="338">
        <v>0</v>
      </c>
      <c r="AJ128" s="338">
        <f t="shared" si="63"/>
        <v>0</v>
      </c>
      <c r="AK128" s="338">
        <v>0</v>
      </c>
      <c r="AL128" s="338">
        <f t="shared" si="64"/>
        <v>0</v>
      </c>
      <c r="AM128" s="338">
        <f t="shared" si="65"/>
        <v>0</v>
      </c>
      <c r="AN128" s="338">
        <v>0</v>
      </c>
      <c r="AO128" s="338">
        <f t="shared" si="66"/>
        <v>0</v>
      </c>
      <c r="AP128" s="338">
        <v>0</v>
      </c>
    </row>
    <row r="129" spans="1:42">
      <c r="A129" s="136" t="s">
        <v>467</v>
      </c>
      <c r="B129" s="138">
        <v>25.089302415594311</v>
      </c>
      <c r="C129" s="138">
        <v>24.76225278356657</v>
      </c>
      <c r="D129" s="138">
        <v>24.029978517202441</v>
      </c>
      <c r="E129" s="138">
        <v>22.728190042440037</v>
      </c>
      <c r="F129" s="137">
        <v>20.140268266092114</v>
      </c>
      <c r="G129" s="137">
        <v>20.671117306474873</v>
      </c>
      <c r="H129" s="137">
        <v>21.689289234450086</v>
      </c>
      <c r="I129" s="137">
        <v>23.514286261355213</v>
      </c>
      <c r="J129" s="137">
        <v>25.492778251408723</v>
      </c>
      <c r="K129" s="137">
        <v>25.67720311814352</v>
      </c>
      <c r="L129" s="137">
        <v>26.108300801508502</v>
      </c>
      <c r="M129" s="137">
        <v>22.237673826524865</v>
      </c>
      <c r="N129" s="137">
        <v>21.475562476554149</v>
      </c>
      <c r="O129" s="137">
        <v>23.09892173560689</v>
      </c>
      <c r="P129" s="137">
        <v>26.111175224545807</v>
      </c>
      <c r="Q129" s="137">
        <v>24.087259652418282</v>
      </c>
      <c r="R129" s="137">
        <v>25.015479761545084</v>
      </c>
      <c r="S129" s="137">
        <v>25.656247392826856</v>
      </c>
      <c r="T129" s="137">
        <v>22.632775517823728</v>
      </c>
      <c r="U129" s="137">
        <v>22.50920996537285</v>
      </c>
      <c r="V129" s="137">
        <v>21.926926159455867</v>
      </c>
      <c r="W129" s="137">
        <v>23.403471009916998</v>
      </c>
      <c r="X129" s="137">
        <v>22.236400653542191</v>
      </c>
      <c r="Y129" s="137">
        <v>20.418515903830549</v>
      </c>
      <c r="Z129" s="137">
        <v>17.704007798305675</v>
      </c>
      <c r="AA129" s="137">
        <v>16.037467677761459</v>
      </c>
      <c r="AB129" s="137">
        <v>15.408131455616738</v>
      </c>
      <c r="AC129" s="137">
        <v>16.145581014342071</v>
      </c>
      <c r="AD129" s="137">
        <v>17.913958746098306</v>
      </c>
      <c r="AE129" s="137">
        <v>15.99643656627849</v>
      </c>
      <c r="AF129" s="137">
        <v>8.7566914951634711</v>
      </c>
      <c r="AG129" s="137">
        <v>9.989741206439934</v>
      </c>
      <c r="AH129" s="137">
        <v>11.091879676043618</v>
      </c>
      <c r="AI129" s="351">
        <v>84.683073347512888</v>
      </c>
      <c r="AJ129" s="351">
        <f t="shared" ref="AJ129:AO129" si="67">SUM(AJ125:AJ128)</f>
        <v>110.13532250536902</v>
      </c>
      <c r="AK129" s="351">
        <v>135.58757166322516</v>
      </c>
      <c r="AL129" s="351">
        <f t="shared" si="67"/>
        <v>146.75459251741714</v>
      </c>
      <c r="AM129" s="351">
        <f t="shared" si="67"/>
        <v>157.92161337160906</v>
      </c>
      <c r="AN129" s="351">
        <v>169.08863422580106</v>
      </c>
      <c r="AO129" s="351">
        <f t="shared" si="67"/>
        <v>180.25868775205169</v>
      </c>
      <c r="AP129" s="351">
        <v>191.42874127830234</v>
      </c>
    </row>
    <row r="130" spans="1:42" ht="15">
      <c r="A130" s="422"/>
      <c r="B130" s="422"/>
      <c r="C130" s="422"/>
      <c r="D130" s="422"/>
      <c r="E130" s="422"/>
      <c r="F130" s="422"/>
      <c r="G130" s="422"/>
      <c r="H130" s="422"/>
      <c r="I130" s="422"/>
      <c r="J130" s="422"/>
      <c r="K130" s="422"/>
      <c r="L130" s="422"/>
      <c r="M130" s="422"/>
      <c r="N130" s="422"/>
      <c r="O130" s="422"/>
      <c r="P130" s="422"/>
      <c r="Q130" s="422"/>
      <c r="R130" s="422"/>
      <c r="S130" s="422"/>
      <c r="T130" s="422"/>
      <c r="U130" s="422"/>
      <c r="V130" s="422"/>
      <c r="W130" s="422"/>
      <c r="X130" s="422"/>
      <c r="Y130" s="422"/>
      <c r="Z130" s="422"/>
      <c r="AA130" s="422"/>
      <c r="AB130" s="422"/>
      <c r="AC130" s="70"/>
      <c r="AD130" s="70"/>
      <c r="AE130" s="70"/>
      <c r="AF130" s="70"/>
      <c r="AG130" s="70"/>
      <c r="AH130" s="70"/>
    </row>
    <row r="131" spans="1:42">
      <c r="A131" s="139" t="s">
        <v>468</v>
      </c>
      <c r="B131" s="140"/>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430" t="s">
        <v>393</v>
      </c>
      <c r="AJ131" s="430"/>
      <c r="AK131" s="430"/>
      <c r="AL131" s="430"/>
      <c r="AM131" s="430"/>
      <c r="AN131" s="430"/>
      <c r="AO131" s="430"/>
      <c r="AP131" s="430"/>
    </row>
    <row r="132" spans="1:42" ht="105.6">
      <c r="A132" s="75" t="s">
        <v>481</v>
      </c>
      <c r="B132" s="76">
        <v>1990</v>
      </c>
      <c r="C132" s="76">
        <v>1991</v>
      </c>
      <c r="D132" s="76">
        <v>1992</v>
      </c>
      <c r="E132" s="76">
        <v>1993</v>
      </c>
      <c r="F132" s="76">
        <v>1994</v>
      </c>
      <c r="G132" s="76">
        <v>1995</v>
      </c>
      <c r="H132" s="76">
        <v>1996</v>
      </c>
      <c r="I132" s="76">
        <v>1997</v>
      </c>
      <c r="J132" s="76">
        <v>1998</v>
      </c>
      <c r="K132" s="76">
        <v>1999</v>
      </c>
      <c r="L132" s="76">
        <v>2000</v>
      </c>
      <c r="M132" s="76">
        <v>2001</v>
      </c>
      <c r="N132" s="76">
        <v>2002</v>
      </c>
      <c r="O132" s="76">
        <v>2003</v>
      </c>
      <c r="P132" s="76">
        <v>2004</v>
      </c>
      <c r="Q132" s="76">
        <v>2005</v>
      </c>
      <c r="R132" s="76">
        <v>2006</v>
      </c>
      <c r="S132" s="76">
        <v>2007</v>
      </c>
      <c r="T132" s="76">
        <v>2008</v>
      </c>
      <c r="U132" s="76">
        <v>2009</v>
      </c>
      <c r="V132" s="76">
        <v>2010</v>
      </c>
      <c r="W132" s="76">
        <v>2011</v>
      </c>
      <c r="X132" s="76">
        <v>2012</v>
      </c>
      <c r="Y132" s="76">
        <v>2013</v>
      </c>
      <c r="Z132" s="76">
        <v>2014</v>
      </c>
      <c r="AA132" s="76">
        <v>2015</v>
      </c>
      <c r="AB132" s="76">
        <v>2016</v>
      </c>
      <c r="AC132" s="76">
        <v>2017</v>
      </c>
      <c r="AD132" s="76">
        <v>2018</v>
      </c>
      <c r="AE132" s="76">
        <v>2019</v>
      </c>
      <c r="AF132" s="76">
        <v>2020</v>
      </c>
      <c r="AG132" s="77">
        <v>2021</v>
      </c>
      <c r="AH132" s="77" t="s">
        <v>395</v>
      </c>
      <c r="AI132" s="76">
        <v>2023</v>
      </c>
      <c r="AJ132" s="152">
        <v>2024</v>
      </c>
      <c r="AK132" s="76">
        <v>2025</v>
      </c>
      <c r="AL132" s="152">
        <v>2026</v>
      </c>
      <c r="AM132" s="152">
        <v>2027</v>
      </c>
      <c r="AN132" s="76">
        <v>2028</v>
      </c>
      <c r="AO132" s="152">
        <v>2029</v>
      </c>
      <c r="AP132" s="76">
        <v>2030</v>
      </c>
    </row>
    <row r="133" spans="1:42">
      <c r="A133" s="100" t="s">
        <v>102</v>
      </c>
      <c r="B133" s="92">
        <v>672.17727169851321</v>
      </c>
      <c r="C133" s="92">
        <v>575.14933566118714</v>
      </c>
      <c r="D133" s="92">
        <v>602.03022477440197</v>
      </c>
      <c r="E133" s="92">
        <v>582.106198429659</v>
      </c>
      <c r="F133" s="92">
        <v>586.87651223845739</v>
      </c>
      <c r="G133" s="92">
        <v>561.93892866322597</v>
      </c>
      <c r="H133" s="92">
        <v>516.88392837137781</v>
      </c>
      <c r="I133" s="92">
        <v>543.24977215966339</v>
      </c>
      <c r="J133" s="92">
        <v>541.60775310615907</v>
      </c>
      <c r="K133" s="92">
        <v>526.71833434858002</v>
      </c>
      <c r="L133" s="92">
        <v>605.23551249439663</v>
      </c>
      <c r="M133" s="92">
        <v>503.78112262003594</v>
      </c>
      <c r="N133" s="92">
        <v>473.72969221974904</v>
      </c>
      <c r="O133" s="92">
        <v>576.48450696199427</v>
      </c>
      <c r="P133" s="92">
        <v>451.67563861375254</v>
      </c>
      <c r="Q133" s="92">
        <v>470.29391658574355</v>
      </c>
      <c r="R133" s="92">
        <v>442.19229616876288</v>
      </c>
      <c r="S133" s="92">
        <v>431.60937677013493</v>
      </c>
      <c r="T133" s="92">
        <v>423.27189541469869</v>
      </c>
      <c r="U133" s="92">
        <v>443.21552629450321</v>
      </c>
      <c r="V133" s="92">
        <v>456.77196087660644</v>
      </c>
      <c r="W133" s="92">
        <v>460.00565484675792</v>
      </c>
      <c r="X133" s="92">
        <v>463.01640612933977</v>
      </c>
      <c r="Y133" s="92">
        <v>375.51281367622795</v>
      </c>
      <c r="Z133" s="92">
        <v>453.40291377218159</v>
      </c>
      <c r="AA133" s="92">
        <v>464.25932101691234</v>
      </c>
      <c r="AB133" s="92">
        <v>486.32307054314663</v>
      </c>
      <c r="AC133" s="92">
        <v>507.86527055165243</v>
      </c>
      <c r="AD133" s="92">
        <v>518.8860997837121</v>
      </c>
      <c r="AE133" s="92">
        <v>550.50849395961473</v>
      </c>
      <c r="AF133" s="92">
        <v>510.47782151751676</v>
      </c>
      <c r="AG133" s="92">
        <v>511.15451482911664</v>
      </c>
      <c r="AH133" s="92">
        <v>520.39102427154648</v>
      </c>
      <c r="AI133" s="338">
        <v>510.47782151751676</v>
      </c>
      <c r="AJ133" s="338">
        <f>AI133+(AK133-AI133)/2</f>
        <v>510.47782151751676</v>
      </c>
      <c r="AK133" s="338">
        <v>510.47782151751676</v>
      </c>
      <c r="AL133" s="338">
        <f>AK133+(AN133-AK133)/3</f>
        <v>510.47782151751676</v>
      </c>
      <c r="AM133" s="338">
        <f>AK133+(AN133-AK133)*2/3</f>
        <v>510.47782151751676</v>
      </c>
      <c r="AN133" s="338">
        <v>510.47782151751676</v>
      </c>
      <c r="AO133" s="338">
        <f>AN133+(AP133-AN133)/2</f>
        <v>510.47782151751676</v>
      </c>
      <c r="AP133" s="338">
        <v>510.47782151751676</v>
      </c>
    </row>
    <row r="134" spans="1:42">
      <c r="A134" s="100" t="s">
        <v>469</v>
      </c>
      <c r="B134" s="92">
        <v>147.0857898081901</v>
      </c>
      <c r="C134" s="92">
        <v>157.29169903791069</v>
      </c>
      <c r="D134" s="92">
        <v>162.72556251642516</v>
      </c>
      <c r="E134" s="92">
        <v>166.20868370680228</v>
      </c>
      <c r="F134" s="92">
        <v>160.92069359143224</v>
      </c>
      <c r="G134" s="92">
        <v>156.63141996067608</v>
      </c>
      <c r="H134" s="92">
        <v>156.43575225967797</v>
      </c>
      <c r="I134" s="92">
        <v>156.45899856425547</v>
      </c>
      <c r="J134" s="92">
        <v>155.25428246572474</v>
      </c>
      <c r="K134" s="92">
        <v>151.87321284933668</v>
      </c>
      <c r="L134" s="92">
        <v>148.62367908483134</v>
      </c>
      <c r="M134" s="92">
        <v>154.73860562194668</v>
      </c>
      <c r="N134" s="92">
        <v>149.50763166520437</v>
      </c>
      <c r="O134" s="92">
        <v>150.40830574357415</v>
      </c>
      <c r="P134" s="92">
        <v>150.32592682807612</v>
      </c>
      <c r="Q134" s="92">
        <v>151.50322873266506</v>
      </c>
      <c r="R134" s="92">
        <v>147.06075811983445</v>
      </c>
      <c r="S134" s="92">
        <v>145.61801919798242</v>
      </c>
      <c r="T134" s="92">
        <v>143.01120430692208</v>
      </c>
      <c r="U134" s="92">
        <v>149.198342309803</v>
      </c>
      <c r="V134" s="92">
        <v>154.67066459087289</v>
      </c>
      <c r="W134" s="92">
        <v>153.51766413283241</v>
      </c>
      <c r="X134" s="92">
        <v>154.18814734482334</v>
      </c>
      <c r="Y134" s="92">
        <v>174.9562537054683</v>
      </c>
      <c r="Z134" s="92">
        <v>156.71717932439151</v>
      </c>
      <c r="AA134" s="92">
        <v>153.75676825297273</v>
      </c>
      <c r="AB134" s="92">
        <v>150.71344538330143</v>
      </c>
      <c r="AC134" s="92">
        <v>149.15109865191368</v>
      </c>
      <c r="AD134" s="92">
        <v>139.17457467739135</v>
      </c>
      <c r="AE134" s="92">
        <v>137.3106919132573</v>
      </c>
      <c r="AF134" s="92">
        <v>134.69915990012629</v>
      </c>
      <c r="AG134" s="92">
        <v>137.21499317854054</v>
      </c>
      <c r="AH134" s="92">
        <v>137.21499317854054</v>
      </c>
      <c r="AI134" s="338">
        <v>133.84338046216607</v>
      </c>
      <c r="AJ134" s="338">
        <f t="shared" ref="AJ134:AJ137" si="68">AI134+(AK134-AI134)/2</f>
        <v>133.55812064951266</v>
      </c>
      <c r="AK134" s="338">
        <v>133.27286083685922</v>
      </c>
      <c r="AL134" s="338">
        <f t="shared" ref="AL134:AL137" si="69">AK134+(AN134-AK134)/3</f>
        <v>132.98760102420582</v>
      </c>
      <c r="AM134" s="338">
        <f t="shared" ref="AM134:AM137" si="70">AK134+(AN134-AK134)*2/3</f>
        <v>132.70234121155241</v>
      </c>
      <c r="AN134" s="338">
        <v>132.417081398899</v>
      </c>
      <c r="AO134" s="338">
        <f t="shared" ref="AO134:AO137" si="71">AN134+(AP134-AN134)/2</f>
        <v>132.13182158624559</v>
      </c>
      <c r="AP134" s="338">
        <v>131.84656177359219</v>
      </c>
    </row>
    <row r="135" spans="1:42">
      <c r="A135" s="100" t="s">
        <v>470</v>
      </c>
      <c r="B135" s="92">
        <v>180.74613902746131</v>
      </c>
      <c r="C135" s="92">
        <v>201.91414607402967</v>
      </c>
      <c r="D135" s="92">
        <v>208.57409802591604</v>
      </c>
      <c r="E135" s="92">
        <v>215.47324379873345</v>
      </c>
      <c r="F135" s="92">
        <v>210.45122330514312</v>
      </c>
      <c r="G135" s="92">
        <v>207.24440799190859</v>
      </c>
      <c r="H135" s="92">
        <v>211.15210308718761</v>
      </c>
      <c r="I135" s="92">
        <v>212.94653672637682</v>
      </c>
      <c r="J135" s="92">
        <v>211.87676696177894</v>
      </c>
      <c r="K135" s="92">
        <v>205.26013589460834</v>
      </c>
      <c r="L135" s="92">
        <v>205.55220941375998</v>
      </c>
      <c r="M135" s="92">
        <v>211.42268357787685</v>
      </c>
      <c r="N135" s="92">
        <v>208.17977213394417</v>
      </c>
      <c r="O135" s="92">
        <v>208.83279738612072</v>
      </c>
      <c r="P135" s="92">
        <v>209.14678928708165</v>
      </c>
      <c r="Q135" s="92">
        <v>211.87024620704548</v>
      </c>
      <c r="R135" s="92">
        <v>209.47237884960848</v>
      </c>
      <c r="S135" s="92">
        <v>237.00307462769217</v>
      </c>
      <c r="T135" s="92">
        <v>221.72577497068943</v>
      </c>
      <c r="U135" s="92">
        <v>224.33934196543981</v>
      </c>
      <c r="V135" s="92">
        <v>231.33478141031085</v>
      </c>
      <c r="W135" s="92">
        <v>230.27645275337335</v>
      </c>
      <c r="X135" s="92">
        <v>217.37987410389056</v>
      </c>
      <c r="Y135" s="92">
        <v>317.48108248552313</v>
      </c>
      <c r="Z135" s="92">
        <v>241.41342408735065</v>
      </c>
      <c r="AA135" s="92">
        <v>231.72584222117317</v>
      </c>
      <c r="AB135" s="92">
        <v>230.61190990267147</v>
      </c>
      <c r="AC135" s="92">
        <v>222.75734856562161</v>
      </c>
      <c r="AD135" s="92">
        <v>178.8664321569095</v>
      </c>
      <c r="AE135" s="92">
        <v>176.08981819399844</v>
      </c>
      <c r="AF135" s="92">
        <v>173.27656144062064</v>
      </c>
      <c r="AG135" s="92">
        <v>173.9660976727007</v>
      </c>
      <c r="AH135" s="92">
        <v>173.9660976727007</v>
      </c>
      <c r="AI135" s="338">
        <v>173.02961192412664</v>
      </c>
      <c r="AJ135" s="338">
        <f t="shared" si="68"/>
        <v>172.94729541862864</v>
      </c>
      <c r="AK135" s="338">
        <v>172.86497891313067</v>
      </c>
      <c r="AL135" s="338">
        <f t="shared" si="69"/>
        <v>172.78266240763267</v>
      </c>
      <c r="AM135" s="338">
        <f t="shared" si="70"/>
        <v>172.7003459021347</v>
      </c>
      <c r="AN135" s="338">
        <v>172.6180293966367</v>
      </c>
      <c r="AO135" s="338">
        <f t="shared" si="71"/>
        <v>172.5357128911387</v>
      </c>
      <c r="AP135" s="338">
        <v>172.45339638564073</v>
      </c>
    </row>
    <row r="136" spans="1:42">
      <c r="A136" s="100" t="s">
        <v>104</v>
      </c>
      <c r="B136" s="92">
        <v>6.4711640196986453</v>
      </c>
      <c r="C136" s="92">
        <v>6.3959268996986456</v>
      </c>
      <c r="D136" s="92">
        <v>6.483340659698646</v>
      </c>
      <c r="E136" s="92">
        <v>6.5082584196986462</v>
      </c>
      <c r="F136" s="92">
        <v>6.5220478596986453</v>
      </c>
      <c r="G136" s="92">
        <v>6.5060811396986455</v>
      </c>
      <c r="H136" s="92">
        <v>6.5217252996986463</v>
      </c>
      <c r="I136" s="92">
        <v>6.6060747396986468</v>
      </c>
      <c r="J136" s="92">
        <v>6.6134936196986462</v>
      </c>
      <c r="K136" s="92">
        <v>6.6946980996986465</v>
      </c>
      <c r="L136" s="92">
        <v>6.7160676996986464</v>
      </c>
      <c r="M136" s="92">
        <v>6.5480945796986454</v>
      </c>
      <c r="N136" s="92">
        <v>6.5942206596986459</v>
      </c>
      <c r="O136" s="92">
        <v>6.7422756996986459</v>
      </c>
      <c r="P136" s="92">
        <v>6.8863793796986466</v>
      </c>
      <c r="Q136" s="92">
        <v>6.9164580996986453</v>
      </c>
      <c r="R136" s="92">
        <v>6.929763699698646</v>
      </c>
      <c r="S136" s="92">
        <v>7.0316926596986455</v>
      </c>
      <c r="T136" s="92">
        <v>7.0709643396986452</v>
      </c>
      <c r="U136" s="92">
        <v>7.856292463955203</v>
      </c>
      <c r="V136" s="92">
        <v>7.891128943955203</v>
      </c>
      <c r="W136" s="92">
        <v>7.8251654239552035</v>
      </c>
      <c r="X136" s="92">
        <v>7.7617017439552027</v>
      </c>
      <c r="Y136" s="92">
        <v>8.5746335839552028</v>
      </c>
      <c r="Z136" s="92">
        <v>8.9556575839552028</v>
      </c>
      <c r="AA136" s="92">
        <v>9.2191084639552034</v>
      </c>
      <c r="AB136" s="92">
        <v>8.657948528712744</v>
      </c>
      <c r="AC136" s="92">
        <v>8.3653059687127413</v>
      </c>
      <c r="AD136" s="92">
        <v>8.2030582887127395</v>
      </c>
      <c r="AE136" s="92">
        <v>7.7085738087127407</v>
      </c>
      <c r="AF136" s="92">
        <v>7.1940906087127399</v>
      </c>
      <c r="AG136" s="92">
        <v>6.9196726887127413</v>
      </c>
      <c r="AH136" s="92">
        <v>6.9196726887127413</v>
      </c>
      <c r="AI136" s="338">
        <v>7.0703293079329885</v>
      </c>
      <c r="AJ136" s="338">
        <f t="shared" si="68"/>
        <v>7.0290755410064047</v>
      </c>
      <c r="AK136" s="338">
        <v>6.987821774079821</v>
      </c>
      <c r="AL136" s="338">
        <f t="shared" si="69"/>
        <v>6.9465680071532372</v>
      </c>
      <c r="AM136" s="338">
        <f t="shared" si="70"/>
        <v>6.9053142402266543</v>
      </c>
      <c r="AN136" s="338">
        <v>6.8640604733000705</v>
      </c>
      <c r="AO136" s="338">
        <f t="shared" si="71"/>
        <v>6.8228067063734885</v>
      </c>
      <c r="AP136" s="338">
        <v>6.7815529394469065</v>
      </c>
    </row>
    <row r="137" spans="1:42" ht="24">
      <c r="A137" s="100" t="s">
        <v>105</v>
      </c>
      <c r="B137" s="92">
        <v>46.398253455493908</v>
      </c>
      <c r="C137" s="92">
        <v>49.561599375493905</v>
      </c>
      <c r="D137" s="92">
        <v>48.546583695493908</v>
      </c>
      <c r="E137" s="92">
        <v>48.062098575493913</v>
      </c>
      <c r="F137" s="92">
        <v>48.091774095493911</v>
      </c>
      <c r="G137" s="92">
        <v>47.998151055493913</v>
      </c>
      <c r="H137" s="92">
        <v>48.434655375493904</v>
      </c>
      <c r="I137" s="92">
        <v>48.569727375493905</v>
      </c>
      <c r="J137" s="92">
        <v>48.052018575493911</v>
      </c>
      <c r="K137" s="92">
        <v>48.236764815493913</v>
      </c>
      <c r="L137" s="92">
        <v>45.038501775493913</v>
      </c>
      <c r="M137" s="92">
        <v>56.141258895493912</v>
      </c>
      <c r="N137" s="92">
        <v>52.525280655493908</v>
      </c>
      <c r="O137" s="92">
        <v>51.849840015493911</v>
      </c>
      <c r="P137" s="92">
        <v>51.969267855493911</v>
      </c>
      <c r="Q137" s="92">
        <v>51.556955535493913</v>
      </c>
      <c r="R137" s="92">
        <v>45.972474255493907</v>
      </c>
      <c r="S137" s="92">
        <v>53.889225615493906</v>
      </c>
      <c r="T137" s="92">
        <v>49.754893455493914</v>
      </c>
      <c r="U137" s="92">
        <v>45.639776656352232</v>
      </c>
      <c r="V137" s="92">
        <v>45.733802896352231</v>
      </c>
      <c r="W137" s="92">
        <v>45.260607376352226</v>
      </c>
      <c r="X137" s="92">
        <v>41.619469456352235</v>
      </c>
      <c r="Y137" s="92">
        <v>60.211505296352229</v>
      </c>
      <c r="Z137" s="92">
        <v>48.912954256352236</v>
      </c>
      <c r="AA137" s="92">
        <v>48.612812176352236</v>
      </c>
      <c r="AB137" s="92">
        <v>45.726403929856943</v>
      </c>
      <c r="AC137" s="92">
        <v>44.797027929856945</v>
      </c>
      <c r="AD137" s="92">
        <v>41.232659289856954</v>
      </c>
      <c r="AE137" s="92">
        <v>40.927436889856949</v>
      </c>
      <c r="AF137" s="92">
        <v>40.921388889856956</v>
      </c>
      <c r="AG137" s="92">
        <v>40.674791769856952</v>
      </c>
      <c r="AH137" s="92">
        <v>40.674791769856952</v>
      </c>
      <c r="AI137" s="338">
        <v>40.339771456889117</v>
      </c>
      <c r="AJ137" s="338">
        <f t="shared" si="68"/>
        <v>40.145898979233166</v>
      </c>
      <c r="AK137" s="338">
        <v>39.952026501577215</v>
      </c>
      <c r="AL137" s="338">
        <f t="shared" si="69"/>
        <v>39.758154023921271</v>
      </c>
      <c r="AM137" s="338">
        <f t="shared" si="70"/>
        <v>39.564281546265327</v>
      </c>
      <c r="AN137" s="338">
        <v>39.370409068609383</v>
      </c>
      <c r="AO137" s="338">
        <f t="shared" si="71"/>
        <v>39.176536590953432</v>
      </c>
      <c r="AP137" s="338">
        <v>38.982664113297481</v>
      </c>
    </row>
    <row r="138" spans="1:42">
      <c r="A138" s="100" t="s">
        <v>471</v>
      </c>
      <c r="B138" s="92">
        <v>0.48972672</v>
      </c>
      <c r="C138" s="92">
        <v>0.48908160000000006</v>
      </c>
      <c r="D138" s="92">
        <v>0.46763136000000011</v>
      </c>
      <c r="E138" s="92">
        <v>0.45843839999999991</v>
      </c>
      <c r="F138" s="92">
        <v>0.41860223999999996</v>
      </c>
      <c r="G138" s="92">
        <v>0.4955328</v>
      </c>
      <c r="H138" s="92">
        <v>0.52940159999999992</v>
      </c>
      <c r="I138" s="92">
        <v>0.60488063999999997</v>
      </c>
      <c r="J138" s="92">
        <v>0.67971456000000008</v>
      </c>
      <c r="K138" s="92">
        <v>0.72930816000000009</v>
      </c>
      <c r="L138" s="92">
        <v>0.74769407999999982</v>
      </c>
      <c r="M138" s="92">
        <v>0.79817472</v>
      </c>
      <c r="N138" s="92">
        <v>0.82099584000000003</v>
      </c>
      <c r="O138" s="92">
        <v>0.82357632000000014</v>
      </c>
      <c r="P138" s="92">
        <v>0.83655935999999997</v>
      </c>
      <c r="Q138" s="92">
        <v>0.83284992000000013</v>
      </c>
      <c r="R138" s="92">
        <v>0.82301184000000016</v>
      </c>
      <c r="S138" s="92">
        <v>0.84768768000000039</v>
      </c>
      <c r="T138" s="92">
        <v>0.81978624</v>
      </c>
      <c r="U138" s="92">
        <v>0.80785151999999993</v>
      </c>
      <c r="V138" s="92">
        <v>0.83607552000000018</v>
      </c>
      <c r="W138" s="92">
        <v>0.82889856000000017</v>
      </c>
      <c r="X138" s="92">
        <v>0.81623807999999998</v>
      </c>
      <c r="Y138" s="92">
        <v>0.97735680000000025</v>
      </c>
      <c r="Z138" s="92">
        <v>1.05017472</v>
      </c>
      <c r="AA138" s="92">
        <v>0.91219968000000018</v>
      </c>
      <c r="AB138" s="92">
        <v>0.78051456000000008</v>
      </c>
      <c r="AC138" s="92">
        <v>0.67592448000000005</v>
      </c>
      <c r="AD138" s="92">
        <v>0.6547161600000001</v>
      </c>
      <c r="AE138" s="92">
        <v>0.58544639999999992</v>
      </c>
      <c r="AF138" s="92">
        <v>0.56496384000000011</v>
      </c>
      <c r="AG138" s="92">
        <v>0.5636736</v>
      </c>
      <c r="AH138" s="92">
        <v>0.5636736</v>
      </c>
      <c r="AI138" s="338">
        <v>0.56496384000000011</v>
      </c>
      <c r="AJ138" s="338">
        <f>AI138+(AK138-AI138)/2</f>
        <v>0.56496384000000011</v>
      </c>
      <c r="AK138" s="338">
        <v>0.56496384000000011</v>
      </c>
      <c r="AL138" s="338">
        <f>AK138+(AN138-AK138)/3</f>
        <v>0.56496384000000011</v>
      </c>
      <c r="AM138" s="338">
        <f>AK138+(AN138-AK138)*2/3</f>
        <v>0.56496384000000011</v>
      </c>
      <c r="AN138" s="338">
        <v>0.56496384000000011</v>
      </c>
      <c r="AO138" s="338">
        <f>AN138+(AP138-AN138)/2</f>
        <v>0.56496384000000011</v>
      </c>
      <c r="AP138" s="338">
        <v>0.56496384000000011</v>
      </c>
    </row>
    <row r="139" spans="1:42">
      <c r="A139" s="100" t="s">
        <v>207</v>
      </c>
      <c r="B139" s="92">
        <v>0</v>
      </c>
      <c r="C139" s="92">
        <v>0</v>
      </c>
      <c r="D139" s="92">
        <v>0</v>
      </c>
      <c r="E139" s="92">
        <v>0</v>
      </c>
      <c r="F139" s="92">
        <v>0</v>
      </c>
      <c r="G139" s="92">
        <v>0</v>
      </c>
      <c r="H139" s="92">
        <v>0</v>
      </c>
      <c r="I139" s="92">
        <v>0</v>
      </c>
      <c r="J139" s="92">
        <v>0</v>
      </c>
      <c r="K139" s="92">
        <v>0</v>
      </c>
      <c r="L139" s="92">
        <v>0</v>
      </c>
      <c r="M139" s="92">
        <v>0</v>
      </c>
      <c r="N139" s="92">
        <v>0</v>
      </c>
      <c r="O139" s="92">
        <v>0</v>
      </c>
      <c r="P139" s="92">
        <v>0</v>
      </c>
      <c r="Q139" s="92">
        <v>0</v>
      </c>
      <c r="R139" s="92">
        <v>0</v>
      </c>
      <c r="S139" s="92">
        <v>0</v>
      </c>
      <c r="T139" s="92">
        <v>0</v>
      </c>
      <c r="U139" s="92">
        <v>0</v>
      </c>
      <c r="V139" s="92">
        <v>0</v>
      </c>
      <c r="W139" s="92">
        <v>0</v>
      </c>
      <c r="X139" s="92">
        <v>0</v>
      </c>
      <c r="Y139" s="92">
        <v>0</v>
      </c>
      <c r="Z139" s="92">
        <v>0</v>
      </c>
      <c r="AA139" s="92">
        <v>0</v>
      </c>
      <c r="AB139" s="92">
        <v>0</v>
      </c>
      <c r="AC139" s="92">
        <v>0</v>
      </c>
      <c r="AD139" s="92">
        <v>0</v>
      </c>
      <c r="AE139" s="92">
        <v>0</v>
      </c>
      <c r="AF139" s="92">
        <v>0</v>
      </c>
      <c r="AG139" s="92">
        <v>0</v>
      </c>
      <c r="AH139" s="92">
        <v>0</v>
      </c>
      <c r="AI139" s="338">
        <v>0</v>
      </c>
      <c r="AJ139" s="338">
        <f t="shared" ref="AJ139:AJ140" si="72">AI139+(AK139-AI139)/2</f>
        <v>0</v>
      </c>
      <c r="AK139" s="338">
        <v>0</v>
      </c>
      <c r="AL139" s="338">
        <f t="shared" ref="AL139:AL140" si="73">AK139+(AN139-AK139)/3</f>
        <v>0</v>
      </c>
      <c r="AM139" s="338">
        <f t="shared" ref="AM139:AM140" si="74">AK139+(AN139-AK139)*2/3</f>
        <v>0</v>
      </c>
      <c r="AN139" s="338">
        <v>0</v>
      </c>
      <c r="AO139" s="338">
        <f t="shared" ref="AO139:AO140" si="75">AN139+(AP139-AN139)/2</f>
        <v>0</v>
      </c>
      <c r="AP139" s="338">
        <v>0</v>
      </c>
    </row>
    <row r="140" spans="1:42">
      <c r="A140" s="100" t="s">
        <v>472</v>
      </c>
      <c r="B140" s="92">
        <v>0</v>
      </c>
      <c r="C140" s="92">
        <v>0</v>
      </c>
      <c r="D140" s="92">
        <v>0</v>
      </c>
      <c r="E140" s="92">
        <v>0</v>
      </c>
      <c r="F140" s="92">
        <v>2732.4266666666672</v>
      </c>
      <c r="G140" s="92">
        <v>3021.3119999999999</v>
      </c>
      <c r="H140" s="92">
        <v>2234.586666666667</v>
      </c>
      <c r="I140" s="92">
        <v>1670.704</v>
      </c>
      <c r="J140" s="92">
        <v>1266.5333333333335</v>
      </c>
      <c r="K140" s="92">
        <v>976.8266666666666</v>
      </c>
      <c r="L140" s="92">
        <v>769.1786666666668</v>
      </c>
      <c r="M140" s="92">
        <v>620.33066666666673</v>
      </c>
      <c r="N140" s="92">
        <v>513.66933333333327</v>
      </c>
      <c r="O140" s="92">
        <v>437.1733333333334</v>
      </c>
      <c r="P140" s="92">
        <v>382.36799999999999</v>
      </c>
      <c r="Q140" s="92">
        <v>343.09333333333342</v>
      </c>
      <c r="R140" s="92">
        <v>314.94399999999996</v>
      </c>
      <c r="S140" s="92">
        <v>294.74666666666656</v>
      </c>
      <c r="T140" s="92">
        <v>280.29866666666663</v>
      </c>
      <c r="U140" s="92">
        <v>269.92</v>
      </c>
      <c r="V140" s="92">
        <v>262.49066666666664</v>
      </c>
      <c r="W140" s="92">
        <v>257.15199999999999</v>
      </c>
      <c r="X140" s="92">
        <v>253.34399999999999</v>
      </c>
      <c r="Y140" s="92">
        <v>250.61866666666668</v>
      </c>
      <c r="Z140" s="92">
        <v>248.64000000000001</v>
      </c>
      <c r="AA140" s="92">
        <v>247.22133333333335</v>
      </c>
      <c r="AB140" s="92">
        <v>246.21333333333337</v>
      </c>
      <c r="AC140" s="92">
        <v>245.50400000000002</v>
      </c>
      <c r="AD140" s="92">
        <v>244.98133333333337</v>
      </c>
      <c r="AE140" s="92">
        <v>244.608</v>
      </c>
      <c r="AF140" s="92">
        <v>244.34666666666666</v>
      </c>
      <c r="AG140" s="92">
        <v>244.16000000000003</v>
      </c>
      <c r="AH140" s="92">
        <v>244.16000000000003</v>
      </c>
      <c r="AI140" s="338">
        <v>243.93599999999998</v>
      </c>
      <c r="AJ140" s="338">
        <f t="shared" si="72"/>
        <v>243.86133333333333</v>
      </c>
      <c r="AK140" s="338">
        <v>243.78666666666669</v>
      </c>
      <c r="AL140" s="338">
        <f t="shared" si="73"/>
        <v>243.76177777777781</v>
      </c>
      <c r="AM140" s="338">
        <f t="shared" si="74"/>
        <v>243.7368888888889</v>
      </c>
      <c r="AN140" s="338">
        <v>243.71200000000002</v>
      </c>
      <c r="AO140" s="338">
        <f t="shared" si="75"/>
        <v>243.71200000000002</v>
      </c>
      <c r="AP140" s="338">
        <v>243.71200000000002</v>
      </c>
    </row>
    <row r="141" spans="1:42">
      <c r="A141" s="141" t="s">
        <v>473</v>
      </c>
      <c r="B141" s="142">
        <v>1053.3683447293572</v>
      </c>
      <c r="C141" s="142">
        <v>990.80178864831998</v>
      </c>
      <c r="D141" s="142">
        <v>1028.8274410319359</v>
      </c>
      <c r="E141" s="142">
        <v>1018.8169213303873</v>
      </c>
      <c r="F141" s="142">
        <v>3745.7075199968926</v>
      </c>
      <c r="G141" s="142">
        <v>4002.1265216110032</v>
      </c>
      <c r="H141" s="142">
        <v>3174.5442326601033</v>
      </c>
      <c r="I141" s="142">
        <v>2639.1399902054882</v>
      </c>
      <c r="J141" s="142">
        <v>2230.6173626221889</v>
      </c>
      <c r="K141" s="142">
        <v>1916.3391208343842</v>
      </c>
      <c r="L141" s="142">
        <v>1781.0923312148475</v>
      </c>
      <c r="M141" s="142">
        <v>1553.7606066817189</v>
      </c>
      <c r="N141" s="142">
        <v>1405.0269265074235</v>
      </c>
      <c r="O141" s="142">
        <v>1432.314635460215</v>
      </c>
      <c r="P141" s="142">
        <v>1253.2085613241029</v>
      </c>
      <c r="Q141" s="142">
        <v>1236.06698841398</v>
      </c>
      <c r="R141" s="142">
        <v>1167.3946829333986</v>
      </c>
      <c r="S141" s="142">
        <v>1170.7457432176686</v>
      </c>
      <c r="T141" s="142">
        <v>1125.9531853941694</v>
      </c>
      <c r="U141" s="142">
        <v>1140.9771312100534</v>
      </c>
      <c r="V141" s="142">
        <v>1159.7290809047643</v>
      </c>
      <c r="W141" s="142">
        <v>1154.8664430932713</v>
      </c>
      <c r="X141" s="142">
        <v>1138.125836858361</v>
      </c>
      <c r="Y141" s="142">
        <v>1188.3323122141935</v>
      </c>
      <c r="Z141" s="142">
        <v>1159.0923037442312</v>
      </c>
      <c r="AA141" s="142">
        <v>1155.7073851446989</v>
      </c>
      <c r="AB141" s="142">
        <v>1169.0266261810225</v>
      </c>
      <c r="AC141" s="142">
        <v>1179.1159761477575</v>
      </c>
      <c r="AD141" s="142">
        <v>1131.9988736899161</v>
      </c>
      <c r="AE141" s="142">
        <v>1157.7384611654402</v>
      </c>
      <c r="AF141" s="142">
        <v>1111.4806528634999</v>
      </c>
      <c r="AG141" s="142">
        <v>1114.6537437389275</v>
      </c>
      <c r="AH141" s="142">
        <v>1123.8902531813574</v>
      </c>
      <c r="AI141" s="352">
        <v>1109.2618785086315</v>
      </c>
      <c r="AJ141" s="352">
        <f>SUM(AJ133:AJ140)</f>
        <v>1108.5845092792308</v>
      </c>
      <c r="AK141" s="352">
        <v>1107.9071400498303</v>
      </c>
      <c r="AL141" s="352">
        <f t="shared" ref="AL141:AO141" si="76">SUM(AL133:AL140)</f>
        <v>1107.2795485982076</v>
      </c>
      <c r="AM141" s="352">
        <f t="shared" si="76"/>
        <v>1106.6519571465847</v>
      </c>
      <c r="AN141" s="352">
        <v>1106.0243656949617</v>
      </c>
      <c r="AO141" s="352">
        <f t="shared" si="76"/>
        <v>1105.4216631322281</v>
      </c>
      <c r="AP141" s="352">
        <v>1104.818960569494</v>
      </c>
    </row>
  </sheetData>
  <mergeCells count="24">
    <mergeCell ref="AI109:AP109"/>
    <mergeCell ref="AP88:AP89"/>
    <mergeCell ref="AI93:AP93"/>
    <mergeCell ref="AO88:AO89"/>
    <mergeCell ref="AI5:AP5"/>
    <mergeCell ref="AI21:AP21"/>
    <mergeCell ref="AI23:AP23"/>
    <mergeCell ref="AN88:AN89"/>
    <mergeCell ref="A2:BG2"/>
    <mergeCell ref="A130:AB130"/>
    <mergeCell ref="AI131:AP131"/>
    <mergeCell ref="AI37:AP37"/>
    <mergeCell ref="AI50:AP50"/>
    <mergeCell ref="AI58:AP58"/>
    <mergeCell ref="A74:AB74"/>
    <mergeCell ref="AI75:AP75"/>
    <mergeCell ref="AI88:AI89"/>
    <mergeCell ref="AJ88:AJ89"/>
    <mergeCell ref="AK88:AK89"/>
    <mergeCell ref="AL88:AL89"/>
    <mergeCell ref="AM88:AM89"/>
    <mergeCell ref="AI110:AP110"/>
    <mergeCell ref="AI111:AP111"/>
    <mergeCell ref="AI112:AP11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41"/>
  <sheetViews>
    <sheetView showGridLines="0" zoomScale="70" zoomScaleNormal="70" workbookViewId="0">
      <selection activeCell="AD24" sqref="AD24"/>
    </sheetView>
  </sheetViews>
  <sheetFormatPr baseColWidth="10" defaultColWidth="11.44140625" defaultRowHeight="14.4" outlineLevelCol="1"/>
  <cols>
    <col min="3" max="6" width="0" hidden="1" customWidth="1" outlineLevel="1"/>
    <col min="7" max="7" width="11.5546875" collapsed="1"/>
    <col min="8" max="11" width="0" hidden="1" customWidth="1" outlineLevel="1"/>
    <col min="12" max="12" width="11.5546875" collapsed="1"/>
    <col min="13" max="16" width="0" hidden="1" customWidth="1" outlineLevel="1"/>
    <col min="17" max="17" width="11.5546875" collapsed="1"/>
    <col min="18" max="21" width="0" hidden="1" customWidth="1" outlineLevel="1"/>
    <col min="22" max="22" width="11.5546875" collapsed="1"/>
    <col min="23" max="26" width="0" hidden="1" customWidth="1" outlineLevel="1"/>
    <col min="27" max="27" width="11.5546875" collapsed="1"/>
  </cols>
  <sheetData>
    <row r="1" spans="1:59" ht="29.4">
      <c r="A1" s="64" t="s">
        <v>478</v>
      </c>
      <c r="B1" s="65" t="s">
        <v>479</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t="s">
        <v>479</v>
      </c>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row>
    <row r="2" spans="1:59" ht="15">
      <c r="A2" s="419" t="s">
        <v>480</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row>
    <row r="3" spans="1:59" ht="15">
      <c r="A3" s="68" t="s">
        <v>391</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row>
    <row r="4" spans="1:59" ht="22.2">
      <c r="A4" s="69"/>
      <c r="B4" s="70"/>
      <c r="C4" s="70"/>
      <c r="D4" s="70"/>
      <c r="E4" s="70"/>
      <c r="F4" s="70"/>
      <c r="G4" s="70"/>
      <c r="H4" s="70"/>
      <c r="I4" s="70"/>
      <c r="J4" s="70"/>
      <c r="K4" s="70"/>
      <c r="L4" s="70"/>
      <c r="M4" s="70"/>
      <c r="N4" s="70"/>
      <c r="O4" s="70"/>
      <c r="P4" s="70"/>
      <c r="Q4" s="70"/>
      <c r="R4" s="70"/>
      <c r="S4" s="70"/>
      <c r="T4" s="70"/>
      <c r="U4" s="70"/>
      <c r="V4" s="70"/>
      <c r="W4" s="70"/>
      <c r="X4" s="70"/>
      <c r="Y4" s="70"/>
      <c r="Z4" s="71"/>
      <c r="AA4" s="71"/>
      <c r="AB4" s="71"/>
      <c r="AC4" s="72"/>
      <c r="AD4" s="72"/>
      <c r="AE4" s="72"/>
      <c r="AF4" s="72"/>
      <c r="AG4" s="72"/>
      <c r="AH4" s="72"/>
    </row>
    <row r="5" spans="1:59" ht="18">
      <c r="A5" s="73" t="s">
        <v>392</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426" t="s">
        <v>393</v>
      </c>
      <c r="AJ5" s="426"/>
      <c r="AK5" s="426"/>
      <c r="AL5" s="426"/>
      <c r="AM5" s="426"/>
      <c r="AN5" s="426"/>
      <c r="AO5" s="426"/>
      <c r="AP5" s="426"/>
    </row>
    <row r="6" spans="1:59" ht="105.6">
      <c r="A6" s="75" t="s">
        <v>483</v>
      </c>
      <c r="B6" s="76">
        <v>1990</v>
      </c>
      <c r="C6" s="76">
        <v>1991</v>
      </c>
      <c r="D6" s="76">
        <v>1992</v>
      </c>
      <c r="E6" s="76">
        <v>1993</v>
      </c>
      <c r="F6" s="76">
        <v>1994</v>
      </c>
      <c r="G6" s="76">
        <v>1995</v>
      </c>
      <c r="H6" s="76">
        <v>1996</v>
      </c>
      <c r="I6" s="76">
        <v>1997</v>
      </c>
      <c r="J6" s="76">
        <v>1998</v>
      </c>
      <c r="K6" s="76">
        <v>1999</v>
      </c>
      <c r="L6" s="76">
        <v>2000</v>
      </c>
      <c r="M6" s="76">
        <v>2001</v>
      </c>
      <c r="N6" s="76">
        <v>2002</v>
      </c>
      <c r="O6" s="76">
        <v>2003</v>
      </c>
      <c r="P6" s="76">
        <v>2004</v>
      </c>
      <c r="Q6" s="76">
        <v>2005</v>
      </c>
      <c r="R6" s="76">
        <v>2006</v>
      </c>
      <c r="S6" s="76">
        <v>2007</v>
      </c>
      <c r="T6" s="76">
        <v>2008</v>
      </c>
      <c r="U6" s="76">
        <v>2009</v>
      </c>
      <c r="V6" s="76">
        <v>2010</v>
      </c>
      <c r="W6" s="76">
        <v>2011</v>
      </c>
      <c r="X6" s="76">
        <v>2012</v>
      </c>
      <c r="Y6" s="76">
        <v>2013</v>
      </c>
      <c r="Z6" s="76">
        <v>2014</v>
      </c>
      <c r="AA6" s="76">
        <v>2015</v>
      </c>
      <c r="AB6" s="76">
        <v>2016</v>
      </c>
      <c r="AC6" s="76">
        <v>2017</v>
      </c>
      <c r="AD6" s="76">
        <v>2018</v>
      </c>
      <c r="AE6" s="76">
        <v>2019</v>
      </c>
      <c r="AF6" s="77">
        <v>2020</v>
      </c>
      <c r="AG6" s="77">
        <v>2021</v>
      </c>
      <c r="AH6" s="77" t="s">
        <v>395</v>
      </c>
      <c r="AI6" s="76">
        <v>2023</v>
      </c>
      <c r="AJ6" s="152">
        <v>2024</v>
      </c>
      <c r="AK6" s="76">
        <v>2025</v>
      </c>
      <c r="AL6" s="152">
        <v>2026</v>
      </c>
      <c r="AM6" s="152">
        <v>2027</v>
      </c>
      <c r="AN6" s="76">
        <v>2028</v>
      </c>
      <c r="AO6" s="152">
        <v>2029</v>
      </c>
      <c r="AP6" s="76">
        <v>2030</v>
      </c>
    </row>
    <row r="7" spans="1:59">
      <c r="A7" s="78" t="s">
        <v>396</v>
      </c>
      <c r="B7" s="79">
        <v>424.53535730294504</v>
      </c>
      <c r="C7" s="79">
        <v>444.0276331922833</v>
      </c>
      <c r="D7" s="79">
        <v>461.82334710673422</v>
      </c>
      <c r="E7" s="79">
        <v>453.97094533281205</v>
      </c>
      <c r="F7" s="79">
        <v>405.58315751964176</v>
      </c>
      <c r="G7" s="79">
        <v>405.62170141636005</v>
      </c>
      <c r="H7" s="79">
        <v>459.58399561229714</v>
      </c>
      <c r="I7" s="79">
        <v>467.36594195034326</v>
      </c>
      <c r="J7" s="79">
        <v>510.42624462618448</v>
      </c>
      <c r="K7" s="79">
        <v>485.38357973305324</v>
      </c>
      <c r="L7" s="79">
        <v>508.77924040011743</v>
      </c>
      <c r="M7" s="79">
        <v>498.20247222667632</v>
      </c>
      <c r="N7" s="79">
        <v>507.82004361702855</v>
      </c>
      <c r="O7" s="79">
        <v>552.83222662107767</v>
      </c>
      <c r="P7" s="79">
        <v>565.58704632536421</v>
      </c>
      <c r="Q7" s="79">
        <v>566.91478650792601</v>
      </c>
      <c r="R7" s="79">
        <v>454.03714047004581</v>
      </c>
      <c r="S7" s="79">
        <v>395.19378455992194</v>
      </c>
      <c r="T7" s="79">
        <v>393.18050456582824</v>
      </c>
      <c r="U7" s="79">
        <v>374.94064332093456</v>
      </c>
      <c r="V7" s="79">
        <v>433.56701335394246</v>
      </c>
      <c r="W7" s="79">
        <v>312.41238489542377</v>
      </c>
      <c r="X7" s="79">
        <v>344.51102195674571</v>
      </c>
      <c r="Y7" s="79">
        <v>312.71670423444777</v>
      </c>
      <c r="Z7" s="79">
        <v>243.98674818751522</v>
      </c>
      <c r="AA7" s="79">
        <v>248.68827198605379</v>
      </c>
      <c r="AB7" s="79">
        <v>281.94044786735736</v>
      </c>
      <c r="AC7" s="79">
        <v>308.09718716458872</v>
      </c>
      <c r="AD7" s="79">
        <v>246.18125265857276</v>
      </c>
      <c r="AE7" s="79">
        <v>240.82109272609148</v>
      </c>
      <c r="AF7" s="79">
        <v>225.74914406598936</v>
      </c>
      <c r="AG7" s="79">
        <v>224.90800656058252</v>
      </c>
      <c r="AH7" s="79">
        <v>236.27008336468839</v>
      </c>
      <c r="AI7" s="143">
        <v>275.39122589235967</v>
      </c>
      <c r="AJ7" s="143">
        <f>AI7+(AK7-AI7)/2</f>
        <v>279.22131555517598</v>
      </c>
      <c r="AK7" s="143">
        <v>283.05140521799228</v>
      </c>
      <c r="AL7" s="143">
        <f>AK7+(AN7-AK7)/3</f>
        <v>288.49207836355544</v>
      </c>
      <c r="AM7" s="143">
        <f>AK7+(AN7-AK7)*2/3</f>
        <v>293.93275150911859</v>
      </c>
      <c r="AN7" s="143">
        <v>299.37342465468174</v>
      </c>
      <c r="AO7" s="143">
        <f>AN7+(AP7-AN7)/2</f>
        <v>305.87636540138226</v>
      </c>
      <c r="AP7" s="143">
        <v>312.37930614808272</v>
      </c>
    </row>
    <row r="8" spans="1:59">
      <c r="A8" s="78" t="s">
        <v>397</v>
      </c>
      <c r="B8" s="79">
        <v>21541.846280821948</v>
      </c>
      <c r="C8" s="79">
        <v>21733.382806963011</v>
      </c>
      <c r="D8" s="79">
        <v>22092.527183457827</v>
      </c>
      <c r="E8" s="79">
        <v>22096.128650020979</v>
      </c>
      <c r="F8" s="79">
        <v>22607.914800043887</v>
      </c>
      <c r="G8" s="79">
        <v>23380.839583054778</v>
      </c>
      <c r="H8" s="79">
        <v>23818.126227331501</v>
      </c>
      <c r="I8" s="79">
        <v>23266.498782330171</v>
      </c>
      <c r="J8" s="79">
        <v>17017.888434513643</v>
      </c>
      <c r="K8" s="79">
        <v>12312.663483523014</v>
      </c>
      <c r="L8" s="79">
        <v>10952.894711355233</v>
      </c>
      <c r="M8" s="79">
        <v>11032.324259694533</v>
      </c>
      <c r="N8" s="79">
        <v>9093.6197566446008</v>
      </c>
      <c r="O8" s="79">
        <v>8951.0208199989393</v>
      </c>
      <c r="P8" s="79">
        <v>6459.3726534518464</v>
      </c>
      <c r="Q8" s="79">
        <v>6497.441703430718</v>
      </c>
      <c r="R8" s="79">
        <v>5828.4936745930354</v>
      </c>
      <c r="S8" s="79">
        <v>5405.1798679756394</v>
      </c>
      <c r="T8" s="79">
        <v>4481.3318338802392</v>
      </c>
      <c r="U8" s="79">
        <v>3773.0362373256985</v>
      </c>
      <c r="V8" s="79">
        <v>2316.1356229920275</v>
      </c>
      <c r="W8" s="79">
        <v>1591.9968206593444</v>
      </c>
      <c r="X8" s="79">
        <v>1263.6688279453763</v>
      </c>
      <c r="Y8" s="79">
        <v>1255.0611144086247</v>
      </c>
      <c r="Z8" s="79">
        <v>1404.1004453076755</v>
      </c>
      <c r="AA8" s="79">
        <v>1503.7603660310851</v>
      </c>
      <c r="AB8" s="79">
        <v>1271.9436192237388</v>
      </c>
      <c r="AC8" s="79">
        <v>1839.1597021836963</v>
      </c>
      <c r="AD8" s="79">
        <v>1324.906029862638</v>
      </c>
      <c r="AE8" s="79">
        <v>1182.2796247727831</v>
      </c>
      <c r="AF8" s="79">
        <v>1002.1090531396482</v>
      </c>
      <c r="AG8" s="79">
        <v>878.56850981705372</v>
      </c>
      <c r="AH8" s="79">
        <v>846.34059418781294</v>
      </c>
      <c r="AI8" s="143">
        <v>978.70445145821486</v>
      </c>
      <c r="AJ8" s="143">
        <f t="shared" ref="AJ8:AJ15" si="0">AI8+(AK8-AI8)/2</f>
        <v>942.90592915152547</v>
      </c>
      <c r="AK8" s="143">
        <v>907.10740684483619</v>
      </c>
      <c r="AL8" s="143">
        <f t="shared" ref="AL8:AL15" si="1">AK8+(AN8-AK8)/3</f>
        <v>874.96578282464122</v>
      </c>
      <c r="AM8" s="143">
        <f t="shared" ref="AM8:AM15" si="2">AK8+(AN8-AK8)*2/3</f>
        <v>842.82415880444614</v>
      </c>
      <c r="AN8" s="143">
        <v>810.68253478425117</v>
      </c>
      <c r="AO8" s="143">
        <f t="shared" ref="AO8:AO15" si="3">AN8+(AP8-AN8)/2</f>
        <v>773.63944262254461</v>
      </c>
      <c r="AP8" s="143">
        <v>736.59635046083804</v>
      </c>
    </row>
    <row r="9" spans="1:59">
      <c r="A9" s="78" t="s">
        <v>398</v>
      </c>
      <c r="B9" s="79">
        <v>529.93662025701587</v>
      </c>
      <c r="C9" s="79">
        <v>539.2800813924332</v>
      </c>
      <c r="D9" s="79">
        <v>533.51196378107352</v>
      </c>
      <c r="E9" s="79">
        <v>531.03428216005364</v>
      </c>
      <c r="F9" s="79">
        <v>531.04364885497966</v>
      </c>
      <c r="G9" s="79">
        <v>534.51049595868767</v>
      </c>
      <c r="H9" s="79">
        <v>523.37991833115393</v>
      </c>
      <c r="I9" s="79">
        <v>499.43643013198459</v>
      </c>
      <c r="J9" s="79">
        <v>482.57622857230444</v>
      </c>
      <c r="K9" s="79">
        <v>479.22454770117565</v>
      </c>
      <c r="L9" s="79">
        <v>487.97894583547264</v>
      </c>
      <c r="M9" s="79">
        <v>468.5895557285761</v>
      </c>
      <c r="N9" s="79">
        <v>448.79781537041993</v>
      </c>
      <c r="O9" s="79">
        <v>438.44870717749734</v>
      </c>
      <c r="P9" s="79">
        <v>425.22603304146458</v>
      </c>
      <c r="Q9" s="79">
        <v>415.32720409095333</v>
      </c>
      <c r="R9" s="79">
        <v>410.95430581273695</v>
      </c>
      <c r="S9" s="79">
        <v>368.10575643988</v>
      </c>
      <c r="T9" s="79">
        <v>367.87920338211245</v>
      </c>
      <c r="U9" s="79">
        <v>375.0024508765182</v>
      </c>
      <c r="V9" s="79">
        <v>404.74287440253568</v>
      </c>
      <c r="W9" s="79">
        <v>413.32510291754966</v>
      </c>
      <c r="X9" s="79">
        <v>431.05743726493802</v>
      </c>
      <c r="Y9" s="79">
        <v>403.03358402866286</v>
      </c>
      <c r="Z9" s="79">
        <v>416.10961266731266</v>
      </c>
      <c r="AA9" s="79">
        <v>426.73846531922447</v>
      </c>
      <c r="AB9" s="79">
        <v>407.16349615770764</v>
      </c>
      <c r="AC9" s="79">
        <v>412.45899338524669</v>
      </c>
      <c r="AD9" s="79">
        <v>413.78477522797829</v>
      </c>
      <c r="AE9" s="79">
        <v>439.79135357330676</v>
      </c>
      <c r="AF9" s="79">
        <v>439.74173528073607</v>
      </c>
      <c r="AG9" s="79">
        <v>451.40105322403997</v>
      </c>
      <c r="AH9" s="79">
        <v>451.30257145365954</v>
      </c>
      <c r="AI9" s="143">
        <v>439.45654836592826</v>
      </c>
      <c r="AJ9" s="143">
        <f t="shared" si="0"/>
        <v>441.54605841586238</v>
      </c>
      <c r="AK9" s="143">
        <v>443.63556846579655</v>
      </c>
      <c r="AL9" s="143">
        <f t="shared" si="1"/>
        <v>445.24604321500607</v>
      </c>
      <c r="AM9" s="143">
        <f t="shared" si="2"/>
        <v>446.85651796421564</v>
      </c>
      <c r="AN9" s="143">
        <v>448.46699271342516</v>
      </c>
      <c r="AO9" s="143">
        <f t="shared" si="3"/>
        <v>448.89850097766168</v>
      </c>
      <c r="AP9" s="143">
        <v>449.33000924189821</v>
      </c>
    </row>
    <row r="10" spans="1:59">
      <c r="A10" s="78" t="s">
        <v>399</v>
      </c>
      <c r="B10" s="79">
        <v>797.01282532580751</v>
      </c>
      <c r="C10" s="79">
        <v>878.24555408585798</v>
      </c>
      <c r="D10" s="79">
        <v>845.6876349017848</v>
      </c>
      <c r="E10" s="80">
        <v>822.60912981285969</v>
      </c>
      <c r="F10" s="80">
        <v>752.23188115446669</v>
      </c>
      <c r="G10" s="80">
        <v>761.47513980605265</v>
      </c>
      <c r="H10" s="80">
        <v>809.42812059927826</v>
      </c>
      <c r="I10" s="80">
        <v>761.77155275254495</v>
      </c>
      <c r="J10" s="80">
        <v>780.51021822566338</v>
      </c>
      <c r="K10" s="80">
        <v>754.4737992602021</v>
      </c>
      <c r="L10" s="80">
        <v>720.46215097652419</v>
      </c>
      <c r="M10" s="80">
        <v>729.09788162689381</v>
      </c>
      <c r="N10" s="80">
        <v>691.63387542630551</v>
      </c>
      <c r="O10" s="80">
        <v>715.94747289472127</v>
      </c>
      <c r="P10" s="80">
        <v>715.3017253813307</v>
      </c>
      <c r="Q10" s="80">
        <v>704.47829180309486</v>
      </c>
      <c r="R10" s="80">
        <v>670.3369426980048</v>
      </c>
      <c r="S10" s="80">
        <v>646.51826218248084</v>
      </c>
      <c r="T10" s="80">
        <v>681.40983155702691</v>
      </c>
      <c r="U10" s="80">
        <v>696.0025432781556</v>
      </c>
      <c r="V10" s="80">
        <v>733.54281200239222</v>
      </c>
      <c r="W10" s="80">
        <v>656.78379795163062</v>
      </c>
      <c r="X10" s="80">
        <v>704.04706811306278</v>
      </c>
      <c r="Y10" s="80">
        <v>738.99324781028918</v>
      </c>
      <c r="Z10" s="80">
        <v>660.07624146922637</v>
      </c>
      <c r="AA10" s="80">
        <v>680.4671998855049</v>
      </c>
      <c r="AB10" s="80">
        <v>694.67146589420076</v>
      </c>
      <c r="AC10" s="80">
        <v>685.02594316245018</v>
      </c>
      <c r="AD10" s="80">
        <v>671.42409481437994</v>
      </c>
      <c r="AE10" s="80">
        <v>672.2690721174406</v>
      </c>
      <c r="AF10" s="80">
        <v>648.47285437623475</v>
      </c>
      <c r="AG10" s="80">
        <v>688.60489159230156</v>
      </c>
      <c r="AH10" s="80">
        <v>634.80203346331086</v>
      </c>
      <c r="AI10" s="143">
        <v>650.75854467553688</v>
      </c>
      <c r="AJ10" s="143">
        <f t="shared" si="0"/>
        <v>635.54649880174156</v>
      </c>
      <c r="AK10" s="143">
        <v>620.33445292794624</v>
      </c>
      <c r="AL10" s="143">
        <f t="shared" si="1"/>
        <v>605.27376037740885</v>
      </c>
      <c r="AM10" s="143">
        <f t="shared" si="2"/>
        <v>590.21306782687134</v>
      </c>
      <c r="AN10" s="143">
        <v>575.15237527633394</v>
      </c>
      <c r="AO10" s="143">
        <f t="shared" si="3"/>
        <v>559.77175318110176</v>
      </c>
      <c r="AP10" s="143">
        <v>544.39113108586969</v>
      </c>
    </row>
    <row r="11" spans="1:59">
      <c r="A11" s="78" t="s">
        <v>400</v>
      </c>
      <c r="B11" s="79">
        <v>26921.250880592714</v>
      </c>
      <c r="C11" s="79">
        <v>26817.986789980707</v>
      </c>
      <c r="D11" s="79">
        <v>26919.856072688031</v>
      </c>
      <c r="E11" s="79">
        <v>25860.87055353004</v>
      </c>
      <c r="F11" s="79">
        <v>24925.069403332171</v>
      </c>
      <c r="G11" s="79">
        <v>25095.548813998947</v>
      </c>
      <c r="H11" s="79">
        <v>25686.995725020486</v>
      </c>
      <c r="I11" s="79">
        <v>26020.490096651665</v>
      </c>
      <c r="J11" s="79">
        <v>26160.717968655485</v>
      </c>
      <c r="K11" s="79">
        <v>26442.201741718221</v>
      </c>
      <c r="L11" s="79">
        <v>26989.377387433218</v>
      </c>
      <c r="M11" s="79">
        <v>26585.927252609494</v>
      </c>
      <c r="N11" s="79">
        <v>26179.621880798404</v>
      </c>
      <c r="O11" s="79">
        <v>24495.967781722789</v>
      </c>
      <c r="P11" s="79">
        <v>25643.134794545836</v>
      </c>
      <c r="Q11" s="79">
        <v>25349.298783565719</v>
      </c>
      <c r="R11" s="79">
        <v>24824.21275850476</v>
      </c>
      <c r="S11" s="79">
        <v>24977.643677963919</v>
      </c>
      <c r="T11" s="79">
        <v>25766.226272803782</v>
      </c>
      <c r="U11" s="79">
        <v>25104.595057574184</v>
      </c>
      <c r="V11" s="79">
        <v>23799.200573811733</v>
      </c>
      <c r="W11" s="79">
        <v>24161.019551353846</v>
      </c>
      <c r="X11" s="79">
        <v>24443.229478017893</v>
      </c>
      <c r="Y11" s="79">
        <v>23922.749300498894</v>
      </c>
      <c r="Z11" s="79">
        <v>24870.23004443547</v>
      </c>
      <c r="AA11" s="79">
        <v>24446.551042470957</v>
      </c>
      <c r="AB11" s="79">
        <v>23941.891162421944</v>
      </c>
      <c r="AC11" s="79">
        <v>24464.961999497107</v>
      </c>
      <c r="AD11" s="79">
        <v>24055.825286904401</v>
      </c>
      <c r="AE11" s="79">
        <v>23286.160787167442</v>
      </c>
      <c r="AF11" s="79">
        <v>22555.92696362648</v>
      </c>
      <c r="AG11" s="79">
        <v>22490.905900461174</v>
      </c>
      <c r="AH11" s="79">
        <v>22511.759455416373</v>
      </c>
      <c r="AI11" s="143">
        <v>21469.309213758635</v>
      </c>
      <c r="AJ11" s="143">
        <f t="shared" si="0"/>
        <v>21106.41787277245</v>
      </c>
      <c r="AK11" s="143">
        <v>20743.526531786261</v>
      </c>
      <c r="AL11" s="143">
        <f t="shared" si="1"/>
        <v>20385.550526857063</v>
      </c>
      <c r="AM11" s="143">
        <f t="shared" si="2"/>
        <v>20027.574521927865</v>
      </c>
      <c r="AN11" s="143">
        <v>19669.598516998667</v>
      </c>
      <c r="AO11" s="143">
        <f t="shared" si="3"/>
        <v>19319.278746573331</v>
      </c>
      <c r="AP11" s="143">
        <v>18968.958976147995</v>
      </c>
    </row>
    <row r="12" spans="1:59">
      <c r="A12" s="78" t="s">
        <v>387</v>
      </c>
      <c r="B12" s="79">
        <v>860.41476284776058</v>
      </c>
      <c r="C12" s="79">
        <v>874.95321682011922</v>
      </c>
      <c r="D12" s="79">
        <v>925.03390277137419</v>
      </c>
      <c r="E12" s="79">
        <v>1015.4713994994431</v>
      </c>
      <c r="F12" s="79">
        <v>1200.8421010129698</v>
      </c>
      <c r="G12" s="79">
        <v>1453.8557211507207</v>
      </c>
      <c r="H12" s="79">
        <v>1753.2702764101984</v>
      </c>
      <c r="I12" s="79">
        <v>2008.5521808938202</v>
      </c>
      <c r="J12" s="79">
        <v>2116.4299643727122</v>
      </c>
      <c r="K12" s="79">
        <v>1299.4927226915761</v>
      </c>
      <c r="L12" s="79">
        <v>1247.2481789563651</v>
      </c>
      <c r="M12" s="79">
        <v>1278.5536418042025</v>
      </c>
      <c r="N12" s="79">
        <v>1283.1347674570698</v>
      </c>
      <c r="O12" s="79">
        <v>1290.4921104329112</v>
      </c>
      <c r="P12" s="79">
        <v>1301.2504560938094</v>
      </c>
      <c r="Q12" s="79">
        <v>1272.7065817582434</v>
      </c>
      <c r="R12" s="79">
        <v>1267.4853062486468</v>
      </c>
      <c r="S12" s="79">
        <v>1272.6277091273614</v>
      </c>
      <c r="T12" s="79">
        <v>1238.6200504359547</v>
      </c>
      <c r="U12" s="79">
        <v>1091.7395967304185</v>
      </c>
      <c r="V12" s="79">
        <v>1132.0050438450442</v>
      </c>
      <c r="W12" s="79">
        <v>1166.4261552497014</v>
      </c>
      <c r="X12" s="79">
        <v>1204.8118688356647</v>
      </c>
      <c r="Y12" s="79">
        <v>1237.3801365413271</v>
      </c>
      <c r="Z12" s="79">
        <v>1272.7629872476186</v>
      </c>
      <c r="AA12" s="79">
        <v>1303.2275532326389</v>
      </c>
      <c r="AB12" s="79">
        <v>1317.3959407742293</v>
      </c>
      <c r="AC12" s="79">
        <v>1312.2968411223435</v>
      </c>
      <c r="AD12" s="79">
        <v>1261.2388875982074</v>
      </c>
      <c r="AE12" s="79">
        <v>1237.123054721473</v>
      </c>
      <c r="AF12" s="79">
        <v>1033.1435858123637</v>
      </c>
      <c r="AG12" s="79">
        <v>1146.7219228005283</v>
      </c>
      <c r="AH12" s="79">
        <v>1158.4039528227627</v>
      </c>
      <c r="AI12" s="143">
        <v>1060.0434183931345</v>
      </c>
      <c r="AJ12" s="143">
        <f t="shared" si="0"/>
        <v>1014.4210271512216</v>
      </c>
      <c r="AK12" s="143">
        <v>968.79863590930847</v>
      </c>
      <c r="AL12" s="143">
        <f t="shared" si="1"/>
        <v>926.40554724674814</v>
      </c>
      <c r="AM12" s="143">
        <f t="shared" si="2"/>
        <v>884.01245858418781</v>
      </c>
      <c r="AN12" s="143">
        <v>841.61936992162748</v>
      </c>
      <c r="AO12" s="143">
        <f t="shared" si="3"/>
        <v>797.36719840736737</v>
      </c>
      <c r="AP12" s="143">
        <v>753.11502689310737</v>
      </c>
    </row>
    <row r="13" spans="1:59">
      <c r="A13" s="81" t="s">
        <v>401</v>
      </c>
      <c r="B13" s="82">
        <v>117.96095111635853</v>
      </c>
      <c r="C13" s="82">
        <v>117.50534039339055</v>
      </c>
      <c r="D13" s="82">
        <v>126.20198803268946</v>
      </c>
      <c r="E13" s="82">
        <v>126.69926201338789</v>
      </c>
      <c r="F13" s="82">
        <v>123.78853822524235</v>
      </c>
      <c r="G13" s="82">
        <v>125.39660348820583</v>
      </c>
      <c r="H13" s="82">
        <v>132.53246564454636</v>
      </c>
      <c r="I13" s="82">
        <v>139.74768746299563</v>
      </c>
      <c r="J13" s="82">
        <v>150.83344921635148</v>
      </c>
      <c r="K13" s="82">
        <v>161.03954681187295</v>
      </c>
      <c r="L13" s="82">
        <v>166.74442714585234</v>
      </c>
      <c r="M13" s="82">
        <v>157.63984242659211</v>
      </c>
      <c r="N13" s="82">
        <v>156.59870928496233</v>
      </c>
      <c r="O13" s="82">
        <v>162.07145799740542</v>
      </c>
      <c r="P13" s="82">
        <v>177.33420526631252</v>
      </c>
      <c r="Q13" s="82">
        <v>173.44434068629988</v>
      </c>
      <c r="R13" s="82">
        <v>182.01779690139304</v>
      </c>
      <c r="S13" s="82">
        <v>188.17142601369534</v>
      </c>
      <c r="T13" s="82">
        <v>181.47424146120139</v>
      </c>
      <c r="U13" s="82">
        <v>171.16418265972732</v>
      </c>
      <c r="V13" s="82">
        <v>170.13284926238975</v>
      </c>
      <c r="W13" s="82">
        <v>179.98693212802431</v>
      </c>
      <c r="X13" s="82">
        <v>173.85730476155703</v>
      </c>
      <c r="Y13" s="82">
        <v>168.3318365211336</v>
      </c>
      <c r="Z13" s="82">
        <v>162.33536351074136</v>
      </c>
      <c r="AA13" s="82">
        <v>164.64260350813669</v>
      </c>
      <c r="AB13" s="82">
        <v>160.62327199131596</v>
      </c>
      <c r="AC13" s="82">
        <v>164.67710462119769</v>
      </c>
      <c r="AD13" s="82">
        <v>173.82560823340989</v>
      </c>
      <c r="AE13" s="82">
        <v>175.24000512870319</v>
      </c>
      <c r="AF13" s="82">
        <v>80.916623985351464</v>
      </c>
      <c r="AG13" s="82">
        <v>84.588550536069491</v>
      </c>
      <c r="AH13" s="82">
        <v>108.41913581781412</v>
      </c>
      <c r="AI13" s="143">
        <v>135.76684390297703</v>
      </c>
      <c r="AJ13" s="143">
        <f t="shared" si="0"/>
        <v>153.99570032354444</v>
      </c>
      <c r="AK13" s="143">
        <v>172.22455674411188</v>
      </c>
      <c r="AL13" s="143">
        <f t="shared" si="1"/>
        <v>173.02580287065928</v>
      </c>
      <c r="AM13" s="143">
        <f t="shared" si="2"/>
        <v>173.8270489972067</v>
      </c>
      <c r="AN13" s="143">
        <v>174.6282951237541</v>
      </c>
      <c r="AO13" s="143">
        <f t="shared" si="3"/>
        <v>175.4295412503015</v>
      </c>
      <c r="AP13" s="143">
        <v>176.23078737684889</v>
      </c>
    </row>
    <row r="14" spans="1:59">
      <c r="A14" s="83" t="s">
        <v>402</v>
      </c>
      <c r="B14" s="85">
        <v>51074.996727148195</v>
      </c>
      <c r="C14" s="85">
        <v>51287.876082434414</v>
      </c>
      <c r="D14" s="85">
        <v>51778.440104706817</v>
      </c>
      <c r="E14" s="85">
        <v>50780.084960356187</v>
      </c>
      <c r="F14" s="85">
        <v>50422.684991918111</v>
      </c>
      <c r="G14" s="85">
        <v>51631.851455385542</v>
      </c>
      <c r="H14" s="85">
        <v>53050.784263304915</v>
      </c>
      <c r="I14" s="85">
        <v>53024.114984710526</v>
      </c>
      <c r="J14" s="85">
        <v>47068.549058965989</v>
      </c>
      <c r="K14" s="85">
        <v>41773.439874627242</v>
      </c>
      <c r="L14" s="85">
        <v>40906.740614956936</v>
      </c>
      <c r="M14" s="85">
        <v>40592.695063690378</v>
      </c>
      <c r="N14" s="85">
        <v>38204.628139313834</v>
      </c>
      <c r="O14" s="85">
        <v>36444.709118847939</v>
      </c>
      <c r="P14" s="85">
        <v>35109.872708839655</v>
      </c>
      <c r="Q14" s="85">
        <v>34806.167351156655</v>
      </c>
      <c r="R14" s="85">
        <v>33455.520128327225</v>
      </c>
      <c r="S14" s="85">
        <v>33065.2690582492</v>
      </c>
      <c r="T14" s="85">
        <v>32928.647696624939</v>
      </c>
      <c r="U14" s="85">
        <v>31415.316529105909</v>
      </c>
      <c r="V14" s="85">
        <v>28819.193940407677</v>
      </c>
      <c r="W14" s="85">
        <v>28301.963813027494</v>
      </c>
      <c r="X14" s="85">
        <v>28391.325702133683</v>
      </c>
      <c r="Y14" s="85">
        <v>27869.934087522244</v>
      </c>
      <c r="Z14" s="85">
        <v>28867.266079314817</v>
      </c>
      <c r="AA14" s="85">
        <v>28609.432898925465</v>
      </c>
      <c r="AB14" s="85">
        <v>27915.006132339178</v>
      </c>
      <c r="AC14" s="85">
        <v>29022.000666515432</v>
      </c>
      <c r="AD14" s="85">
        <v>27973.360327066177</v>
      </c>
      <c r="AE14" s="85">
        <v>27058.444985078539</v>
      </c>
      <c r="AF14" s="85">
        <v>25905.143336301451</v>
      </c>
      <c r="AG14" s="85">
        <v>25881.110284455677</v>
      </c>
      <c r="AH14" s="84">
        <v>25838.878690708607</v>
      </c>
      <c r="AI14" s="85">
        <v>24873.663402543811</v>
      </c>
      <c r="AJ14" s="85">
        <f t="shared" si="0"/>
        <v>24420.058701847978</v>
      </c>
      <c r="AK14" s="85">
        <v>23966.454001152142</v>
      </c>
      <c r="AL14" s="85">
        <f t="shared" si="1"/>
        <v>23525.933738884425</v>
      </c>
      <c r="AM14" s="85">
        <f t="shared" si="2"/>
        <v>23085.413476616704</v>
      </c>
      <c r="AN14" s="85">
        <v>22644.893214348987</v>
      </c>
      <c r="AO14" s="85">
        <f t="shared" si="3"/>
        <v>22204.832007163386</v>
      </c>
      <c r="AP14" s="85">
        <v>21764.770799977789</v>
      </c>
    </row>
    <row r="15" spans="1:59">
      <c r="A15" s="78" t="s">
        <v>403</v>
      </c>
      <c r="B15" s="79">
        <v>2329.3982721083271</v>
      </c>
      <c r="C15" s="79">
        <v>2281.6914727614526</v>
      </c>
      <c r="D15" s="79">
        <v>2284.1707248890921</v>
      </c>
      <c r="E15" s="79">
        <v>2200.7802839516912</v>
      </c>
      <c r="F15" s="79">
        <v>2089.5806743060216</v>
      </c>
      <c r="G15" s="79">
        <v>1950.7756806520517</v>
      </c>
      <c r="H15" s="79">
        <v>1842.3991284272906</v>
      </c>
      <c r="I15" s="79">
        <v>1789.2574222094024</v>
      </c>
      <c r="J15" s="79">
        <v>1720.43920724538</v>
      </c>
      <c r="K15" s="79">
        <v>1649.9129206017449</v>
      </c>
      <c r="L15" s="79">
        <v>1599.3831924259291</v>
      </c>
      <c r="M15" s="79">
        <v>1524.4948071513281</v>
      </c>
      <c r="N15" s="79">
        <v>1558.6733784169185</v>
      </c>
      <c r="O15" s="79">
        <v>1609.9655370195646</v>
      </c>
      <c r="P15" s="79">
        <v>1572.852577749095</v>
      </c>
      <c r="Q15" s="79">
        <v>1558.9657263029778</v>
      </c>
      <c r="R15" s="79">
        <v>1530.3439055056256</v>
      </c>
      <c r="S15" s="79">
        <v>1548.4445994517732</v>
      </c>
      <c r="T15" s="79">
        <v>1557.4796495091509</v>
      </c>
      <c r="U15" s="79">
        <v>1536.1295923541102</v>
      </c>
      <c r="V15" s="79">
        <v>1501.6876489926951</v>
      </c>
      <c r="W15" s="79">
        <v>1425.3917698627886</v>
      </c>
      <c r="X15" s="79">
        <v>1333.0506366140642</v>
      </c>
      <c r="Y15" s="79">
        <v>1345.3840703338433</v>
      </c>
      <c r="Z15" s="79">
        <v>1349.5999880925713</v>
      </c>
      <c r="AA15" s="79">
        <v>1318.6582181129029</v>
      </c>
      <c r="AB15" s="79">
        <v>1272.1044015713135</v>
      </c>
      <c r="AC15" s="79">
        <v>1231.9608134835685</v>
      </c>
      <c r="AD15" s="79">
        <v>1164.0017186390457</v>
      </c>
      <c r="AE15" s="79">
        <v>1122.9626450853702</v>
      </c>
      <c r="AF15" s="79">
        <v>1050.1955492734128</v>
      </c>
      <c r="AG15" s="79">
        <v>1085.8346069332449</v>
      </c>
      <c r="AH15" s="79">
        <v>1090.6704390045475</v>
      </c>
      <c r="AI15" s="144">
        <v>1048.4717897912292</v>
      </c>
      <c r="AJ15" s="143">
        <f t="shared" si="0"/>
        <v>1047.8972032971681</v>
      </c>
      <c r="AK15" s="144">
        <v>1047.3226168031069</v>
      </c>
      <c r="AL15" s="143">
        <f t="shared" si="1"/>
        <v>1046.7480303090458</v>
      </c>
      <c r="AM15" s="143">
        <f t="shared" si="2"/>
        <v>1046.1734438149847</v>
      </c>
      <c r="AN15" s="144">
        <v>1045.5988573209236</v>
      </c>
      <c r="AO15" s="143">
        <f t="shared" si="3"/>
        <v>1045.0242708268624</v>
      </c>
      <c r="AP15" s="144">
        <v>1044.4496843328011</v>
      </c>
    </row>
    <row r="16" spans="1:59">
      <c r="A16" s="81" t="s">
        <v>404</v>
      </c>
      <c r="B16" s="82">
        <v>28.596196267808573</v>
      </c>
      <c r="C16" s="82">
        <v>28.668350868148419</v>
      </c>
      <c r="D16" s="82">
        <v>28.426052303821315</v>
      </c>
      <c r="E16" s="82">
        <v>28.642953084435458</v>
      </c>
      <c r="F16" s="82">
        <v>29.221355166073202</v>
      </c>
      <c r="G16" s="82">
        <v>29.124954819133578</v>
      </c>
      <c r="H16" s="82">
        <v>28.88395395178453</v>
      </c>
      <c r="I16" s="82">
        <v>29.293655426277919</v>
      </c>
      <c r="J16" s="82">
        <v>29.124954819133585</v>
      </c>
      <c r="K16" s="82">
        <v>29.378005729850091</v>
      </c>
      <c r="L16" s="82">
        <v>29.378005729850088</v>
      </c>
      <c r="M16" s="82">
        <v>29.378005729850091</v>
      </c>
      <c r="N16" s="82">
        <v>29.474406076789709</v>
      </c>
      <c r="O16" s="82">
        <v>29.510556206892069</v>
      </c>
      <c r="P16" s="82">
        <v>29.417770872962688</v>
      </c>
      <c r="Q16" s="82">
        <v>29.85310465504617</v>
      </c>
      <c r="R16" s="82">
        <v>30.82647284321293</v>
      </c>
      <c r="S16" s="82">
        <v>31.359848103441632</v>
      </c>
      <c r="T16" s="82">
        <v>31.548181348818453</v>
      </c>
      <c r="U16" s="82">
        <v>31.854611615315129</v>
      </c>
      <c r="V16" s="82">
        <v>31.98090757463174</v>
      </c>
      <c r="W16" s="82">
        <v>31.98090757463174</v>
      </c>
      <c r="X16" s="82">
        <v>32.22287722358147</v>
      </c>
      <c r="Y16" s="82">
        <v>32.328130587821661</v>
      </c>
      <c r="Z16" s="82">
        <v>32.513555835414422</v>
      </c>
      <c r="AA16" s="82">
        <v>32.550424804542068</v>
      </c>
      <c r="AB16" s="82">
        <v>32.581025652876384</v>
      </c>
      <c r="AC16" s="82">
        <v>32.626943185127217</v>
      </c>
      <c r="AD16" s="82">
        <v>32.654422161580456</v>
      </c>
      <c r="AE16" s="82">
        <v>32.749574214955786</v>
      </c>
      <c r="AF16" s="82">
        <v>32.764728301378511</v>
      </c>
      <c r="AG16" s="82">
        <v>32.764728301378511</v>
      </c>
      <c r="AH16" s="82">
        <v>32.764728301378511</v>
      </c>
      <c r="AI16" s="326"/>
      <c r="AJ16" s="327"/>
      <c r="AK16" s="327"/>
      <c r="AL16" s="327"/>
      <c r="AM16" s="327"/>
      <c r="AN16" s="327"/>
      <c r="AO16" s="327"/>
      <c r="AP16" s="327"/>
    </row>
    <row r="17" spans="1:42">
      <c r="A17" s="83" t="s">
        <v>406</v>
      </c>
      <c r="B17" s="85">
        <v>53404.394999256525</v>
      </c>
      <c r="C17" s="85">
        <v>53569.567555195863</v>
      </c>
      <c r="D17" s="85">
        <v>54062.610829595906</v>
      </c>
      <c r="E17" s="85">
        <v>52980.865244307875</v>
      </c>
      <c r="F17" s="85">
        <v>52512.265666224135</v>
      </c>
      <c r="G17" s="85">
        <v>53582.62713603759</v>
      </c>
      <c r="H17" s="85">
        <v>54893.183391732207</v>
      </c>
      <c r="I17" s="85">
        <v>54813.372406919931</v>
      </c>
      <c r="J17" s="85">
        <v>48788.988266211367</v>
      </c>
      <c r="K17" s="85">
        <v>43423.352795228988</v>
      </c>
      <c r="L17" s="85">
        <v>42506.123807382864</v>
      </c>
      <c r="M17" s="85">
        <v>42117.189870841707</v>
      </c>
      <c r="N17" s="85">
        <v>39763.301517730753</v>
      </c>
      <c r="O17" s="85">
        <v>38054.6746558675</v>
      </c>
      <c r="P17" s="85">
        <v>36682.725286588749</v>
      </c>
      <c r="Q17" s="85">
        <v>36365.133077459635</v>
      </c>
      <c r="R17" s="85">
        <v>34985.864033832848</v>
      </c>
      <c r="S17" s="85">
        <v>34613.713657700973</v>
      </c>
      <c r="T17" s="85">
        <v>34486.12734613409</v>
      </c>
      <c r="U17" s="85">
        <v>32951.446121460016</v>
      </c>
      <c r="V17" s="85">
        <v>30320.881589400371</v>
      </c>
      <c r="W17" s="85">
        <v>29727.355582890283</v>
      </c>
      <c r="X17" s="85">
        <v>29724.376338747748</v>
      </c>
      <c r="Y17" s="85">
        <v>29215.318157856087</v>
      </c>
      <c r="Z17" s="85">
        <v>30216.866067407387</v>
      </c>
      <c r="AA17" s="85">
        <v>29928.091117038366</v>
      </c>
      <c r="AB17" s="85">
        <v>29187.110533910491</v>
      </c>
      <c r="AC17" s="85">
        <v>30253.961479999001</v>
      </c>
      <c r="AD17" s="85">
        <v>29137.362045705224</v>
      </c>
      <c r="AE17" s="85">
        <v>28181.407630163907</v>
      </c>
      <c r="AF17" s="85">
        <v>26955.338885574864</v>
      </c>
      <c r="AG17" s="85">
        <v>26966.944891388921</v>
      </c>
      <c r="AH17" s="85">
        <v>26929.549129713156</v>
      </c>
      <c r="AI17" s="85">
        <f>AI14+AI15</f>
        <v>25922.135192335041</v>
      </c>
      <c r="AJ17" s="85">
        <f t="shared" ref="AJ17:AP17" si="4">AJ14+AJ15</f>
        <v>25467.955905145147</v>
      </c>
      <c r="AK17" s="85">
        <f t="shared" si="4"/>
        <v>25013.776617955249</v>
      </c>
      <c r="AL17" s="85">
        <f t="shared" si="4"/>
        <v>24572.68176919347</v>
      </c>
      <c r="AM17" s="85">
        <f t="shared" si="4"/>
        <v>24131.586920431688</v>
      </c>
      <c r="AN17" s="85">
        <f t="shared" si="4"/>
        <v>23690.492071669913</v>
      </c>
      <c r="AO17" s="85">
        <f t="shared" si="4"/>
        <v>23249.85627799025</v>
      </c>
      <c r="AP17" s="85">
        <f t="shared" si="4"/>
        <v>22809.22048431059</v>
      </c>
    </row>
    <row r="18" spans="1:42">
      <c r="A18" s="81" t="s">
        <v>407</v>
      </c>
      <c r="B18" s="82">
        <v>146.55714738416711</v>
      </c>
      <c r="C18" s="82">
        <v>146.17369126153898</v>
      </c>
      <c r="D18" s="82">
        <v>154.62804033651076</v>
      </c>
      <c r="E18" s="82">
        <v>155.34221509782336</v>
      </c>
      <c r="F18" s="82">
        <v>153.00989339131556</v>
      </c>
      <c r="G18" s="82">
        <v>154.5215583073394</v>
      </c>
      <c r="H18" s="82">
        <v>161.41641959633088</v>
      </c>
      <c r="I18" s="82">
        <v>169.04134288927355</v>
      </c>
      <c r="J18" s="82">
        <v>179.95840403548507</v>
      </c>
      <c r="K18" s="82">
        <v>190.41755254172304</v>
      </c>
      <c r="L18" s="82">
        <v>196.12243287570243</v>
      </c>
      <c r="M18" s="82">
        <v>187.0178481564422</v>
      </c>
      <c r="N18" s="82">
        <v>186.07311536175203</v>
      </c>
      <c r="O18" s="82">
        <v>191.58201420429748</v>
      </c>
      <c r="P18" s="82">
        <v>206.7519761392752</v>
      </c>
      <c r="Q18" s="82">
        <v>203.29744534134605</v>
      </c>
      <c r="R18" s="82">
        <v>212.84426974460598</v>
      </c>
      <c r="S18" s="82">
        <v>219.53127411713697</v>
      </c>
      <c r="T18" s="82">
        <v>213.02242281001983</v>
      </c>
      <c r="U18" s="82">
        <v>203.01879427504244</v>
      </c>
      <c r="V18" s="82">
        <v>202.1137568370215</v>
      </c>
      <c r="W18" s="82">
        <v>211.96783970265605</v>
      </c>
      <c r="X18" s="82">
        <v>206.08018198513849</v>
      </c>
      <c r="Y18" s="82">
        <v>200.65996710895524</v>
      </c>
      <c r="Z18" s="82">
        <v>194.84891934615578</v>
      </c>
      <c r="AA18" s="82">
        <v>197.19302831267876</v>
      </c>
      <c r="AB18" s="82">
        <v>193.20429764419234</v>
      </c>
      <c r="AC18" s="82">
        <v>197.30404780632489</v>
      </c>
      <c r="AD18" s="82">
        <v>206.48003039499037</v>
      </c>
      <c r="AE18" s="82">
        <v>207.98957934365899</v>
      </c>
      <c r="AF18" s="82">
        <v>113.68135228672998</v>
      </c>
      <c r="AG18" s="82">
        <v>117.353278837448</v>
      </c>
      <c r="AH18" s="82">
        <v>141.18386411919263</v>
      </c>
      <c r="AI18" s="326"/>
      <c r="AJ18" s="327"/>
      <c r="AK18" s="327"/>
      <c r="AL18" s="327"/>
      <c r="AM18" s="327"/>
      <c r="AN18" s="327"/>
      <c r="AO18" s="327"/>
      <c r="AP18" s="327"/>
    </row>
    <row r="19" spans="1:42">
      <c r="A19" s="86"/>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6"/>
      <c r="AI19" s="328"/>
      <c r="AJ19" s="328"/>
      <c r="AK19" s="328"/>
      <c r="AL19" s="328"/>
      <c r="AM19" s="328"/>
      <c r="AN19" s="328"/>
      <c r="AO19" s="328"/>
      <c r="AP19" s="328"/>
    </row>
    <row r="20" spans="1:42">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8"/>
      <c r="AE20" s="86"/>
      <c r="AF20" s="86"/>
      <c r="AG20" s="86"/>
      <c r="AH20" s="86"/>
    </row>
    <row r="21" spans="1:42" ht="18">
      <c r="A21" s="73" t="s">
        <v>408</v>
      </c>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426" t="s">
        <v>393</v>
      </c>
      <c r="AJ21" s="426"/>
      <c r="AK21" s="426"/>
      <c r="AL21" s="426"/>
      <c r="AM21" s="426"/>
      <c r="AN21" s="426"/>
      <c r="AO21" s="426"/>
      <c r="AP21" s="426"/>
    </row>
    <row r="22" spans="1:42">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row>
    <row r="23" spans="1:42">
      <c r="A23" s="89" t="s">
        <v>396</v>
      </c>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427" t="s">
        <v>393</v>
      </c>
      <c r="AJ23" s="427"/>
      <c r="AK23" s="427"/>
      <c r="AL23" s="427"/>
      <c r="AM23" s="427"/>
      <c r="AN23" s="427"/>
      <c r="AO23" s="427"/>
      <c r="AP23" s="427"/>
    </row>
    <row r="24" spans="1:42" ht="105.6">
      <c r="A24" s="75" t="s">
        <v>483</v>
      </c>
      <c r="B24" s="76">
        <v>1990</v>
      </c>
      <c r="C24" s="76">
        <v>1991</v>
      </c>
      <c r="D24" s="76">
        <v>1992</v>
      </c>
      <c r="E24" s="76">
        <v>1993</v>
      </c>
      <c r="F24" s="76">
        <v>1994</v>
      </c>
      <c r="G24" s="76">
        <v>1995</v>
      </c>
      <c r="H24" s="76">
        <v>1996</v>
      </c>
      <c r="I24" s="76">
        <v>1997</v>
      </c>
      <c r="J24" s="76">
        <v>1998</v>
      </c>
      <c r="K24" s="76">
        <v>1999</v>
      </c>
      <c r="L24" s="76">
        <v>2000</v>
      </c>
      <c r="M24" s="76">
        <v>2001</v>
      </c>
      <c r="N24" s="76">
        <v>2002</v>
      </c>
      <c r="O24" s="76">
        <v>2003</v>
      </c>
      <c r="P24" s="76">
        <v>2004</v>
      </c>
      <c r="Q24" s="76">
        <v>2005</v>
      </c>
      <c r="R24" s="76">
        <v>2006</v>
      </c>
      <c r="S24" s="76">
        <v>2007</v>
      </c>
      <c r="T24" s="76">
        <v>2008</v>
      </c>
      <c r="U24" s="76">
        <v>2009</v>
      </c>
      <c r="V24" s="76">
        <v>2010</v>
      </c>
      <c r="W24" s="76">
        <v>2011</v>
      </c>
      <c r="X24" s="76">
        <v>2012</v>
      </c>
      <c r="Y24" s="76">
        <v>2013</v>
      </c>
      <c r="Z24" s="76">
        <v>2014</v>
      </c>
      <c r="AA24" s="76">
        <v>2015</v>
      </c>
      <c r="AB24" s="76">
        <v>2016</v>
      </c>
      <c r="AC24" s="76">
        <v>2017</v>
      </c>
      <c r="AD24" s="76">
        <v>2018</v>
      </c>
      <c r="AE24" s="76">
        <v>2019</v>
      </c>
      <c r="AF24" s="76">
        <v>2020</v>
      </c>
      <c r="AG24" s="77">
        <v>2021</v>
      </c>
      <c r="AH24" s="77" t="s">
        <v>395</v>
      </c>
      <c r="AI24" s="76">
        <v>2023</v>
      </c>
      <c r="AJ24" s="152">
        <v>2024</v>
      </c>
      <c r="AK24" s="76">
        <v>2025</v>
      </c>
      <c r="AL24" s="152">
        <v>2026</v>
      </c>
      <c r="AM24" s="152">
        <v>2027</v>
      </c>
      <c r="AN24" s="76">
        <v>2028</v>
      </c>
      <c r="AO24" s="152">
        <v>2029</v>
      </c>
      <c r="AP24" s="76">
        <v>2030</v>
      </c>
    </row>
    <row r="25" spans="1:42" ht="24">
      <c r="A25" s="91" t="s">
        <v>90</v>
      </c>
      <c r="B25" s="92">
        <v>188.43535701136207</v>
      </c>
      <c r="C25" s="92">
        <v>189.83006432805573</v>
      </c>
      <c r="D25" s="92">
        <v>192.47767984303263</v>
      </c>
      <c r="E25" s="92">
        <v>171.4420288882894</v>
      </c>
      <c r="F25" s="92">
        <v>122.43677244353982</v>
      </c>
      <c r="G25" s="92">
        <v>121.18813098923894</v>
      </c>
      <c r="H25" s="92">
        <v>164.32953435199411</v>
      </c>
      <c r="I25" s="92">
        <v>168.78677873368878</v>
      </c>
      <c r="J25" s="92">
        <v>209.16401917458438</v>
      </c>
      <c r="K25" s="92">
        <v>163.8006223861446</v>
      </c>
      <c r="L25" s="92">
        <v>174.80496653417597</v>
      </c>
      <c r="M25" s="92">
        <v>144.1298189117114</v>
      </c>
      <c r="N25" s="92">
        <v>137.90319394425586</v>
      </c>
      <c r="O25" s="92">
        <v>166.7573983260155</v>
      </c>
      <c r="P25" s="92">
        <v>164.9539917334836</v>
      </c>
      <c r="Q25" s="92">
        <v>178.01229860754165</v>
      </c>
      <c r="R25" s="92">
        <v>180.94375467139784</v>
      </c>
      <c r="S25" s="92">
        <v>158.6078150535223</v>
      </c>
      <c r="T25" s="92">
        <v>154.76698053425943</v>
      </c>
      <c r="U25" s="92">
        <v>151.28243314352244</v>
      </c>
      <c r="V25" s="92">
        <v>157.33183178934613</v>
      </c>
      <c r="W25" s="92">
        <v>129.27868542538869</v>
      </c>
      <c r="X25" s="92">
        <v>141.29442328448036</v>
      </c>
      <c r="Y25" s="92">
        <v>119.96748206195434</v>
      </c>
      <c r="Z25" s="92">
        <v>66.215060325182989</v>
      </c>
      <c r="AA25" s="92">
        <v>78.223974834648388</v>
      </c>
      <c r="AB25" s="92">
        <v>97.87833306011504</v>
      </c>
      <c r="AC25" s="92">
        <v>114.08702800839919</v>
      </c>
      <c r="AD25" s="92">
        <v>85.949725984409994</v>
      </c>
      <c r="AE25" s="92">
        <v>89.592982398554142</v>
      </c>
      <c r="AF25" s="92">
        <v>81.780322936104099</v>
      </c>
      <c r="AG25" s="92">
        <v>88.418325089394486</v>
      </c>
      <c r="AH25" s="92">
        <v>106.33796179006566</v>
      </c>
      <c r="AI25" s="358">
        <v>90.84487743557591</v>
      </c>
      <c r="AJ25" s="342">
        <f>AI25+(AK25-AI25)/2</f>
        <v>87.233500991180989</v>
      </c>
      <c r="AK25" s="358">
        <v>83.622124546786083</v>
      </c>
      <c r="AL25" s="342">
        <f>AK25+(AN25-AK25)/3</f>
        <v>81.833218928602363</v>
      </c>
      <c r="AM25" s="342">
        <f>AK25+(AN25-AK25)*2/3</f>
        <v>80.04431331041863</v>
      </c>
      <c r="AN25" s="358">
        <v>78.255407692234911</v>
      </c>
      <c r="AO25" s="342">
        <f>AN25+(AP25-AN25)/2</f>
        <v>76.531990272145364</v>
      </c>
      <c r="AP25" s="358">
        <v>74.808572852055818</v>
      </c>
    </row>
    <row r="26" spans="1:42" ht="24">
      <c r="A26" s="91" t="s">
        <v>92</v>
      </c>
      <c r="B26" s="92">
        <v>16.907146227000002</v>
      </c>
      <c r="C26" s="92">
        <v>18.925425782172002</v>
      </c>
      <c r="D26" s="92">
        <v>18.558806379300002</v>
      </c>
      <c r="E26" s="92">
        <v>18.136078350786001</v>
      </c>
      <c r="F26" s="92">
        <v>16.710452602937998</v>
      </c>
      <c r="G26" s="92">
        <v>16.624496462926562</v>
      </c>
      <c r="H26" s="92">
        <v>18.255965213006593</v>
      </c>
      <c r="I26" s="92">
        <v>16.330096647682023</v>
      </c>
      <c r="J26" s="92">
        <v>16.163483688253262</v>
      </c>
      <c r="K26" s="92">
        <v>15.815067000269666</v>
      </c>
      <c r="L26" s="92">
        <v>15.570230144496209</v>
      </c>
      <c r="M26" s="92">
        <v>14.809027037498771</v>
      </c>
      <c r="N26" s="92">
        <v>12.696031386</v>
      </c>
      <c r="O26" s="92">
        <v>13.735059639340024</v>
      </c>
      <c r="P26" s="92">
        <v>12.407226705651841</v>
      </c>
      <c r="Q26" s="92">
        <v>11.228972097734115</v>
      </c>
      <c r="R26" s="92">
        <v>11.796410572840395</v>
      </c>
      <c r="S26" s="92">
        <v>10.736114203110407</v>
      </c>
      <c r="T26" s="92">
        <v>11.565519074980916</v>
      </c>
      <c r="U26" s="92">
        <v>12.518710267003499</v>
      </c>
      <c r="V26" s="92">
        <v>14.995882012201395</v>
      </c>
      <c r="W26" s="92">
        <v>16.079907052247172</v>
      </c>
      <c r="X26" s="92">
        <v>21.277290520842975</v>
      </c>
      <c r="Y26" s="92">
        <v>26.281938430611291</v>
      </c>
      <c r="Z26" s="92">
        <v>25.867350560933762</v>
      </c>
      <c r="AA26" s="92">
        <v>31.432181229881976</v>
      </c>
      <c r="AB26" s="92">
        <v>36.410636872105052</v>
      </c>
      <c r="AC26" s="92">
        <v>38.444514064910742</v>
      </c>
      <c r="AD26" s="92">
        <v>37.060150379070542</v>
      </c>
      <c r="AE26" s="92">
        <v>39.541177710123257</v>
      </c>
      <c r="AF26" s="92">
        <v>37.34674655496277</v>
      </c>
      <c r="AG26" s="92">
        <v>46.037507346477454</v>
      </c>
      <c r="AH26" s="92">
        <v>38.31226299753434</v>
      </c>
      <c r="AI26" s="358">
        <v>90.346440931198387</v>
      </c>
      <c r="AJ26" s="342">
        <f t="shared" ref="AJ26:AJ33" si="5">AI26+(AK26-AI26)/2</f>
        <v>98.787618483521442</v>
      </c>
      <c r="AK26" s="358">
        <v>107.2287960358445</v>
      </c>
      <c r="AL26" s="342">
        <f t="shared" ref="AL26:AL33" si="6">AK26+(AN26-AK26)/3</f>
        <v>115.72496372214219</v>
      </c>
      <c r="AM26" s="342">
        <f t="shared" ref="AM26:AM33" si="7">AK26+(AN26-AK26)*2/3</f>
        <v>124.2211314084399</v>
      </c>
      <c r="AN26" s="358">
        <v>132.7172990947376</v>
      </c>
      <c r="AO26" s="342">
        <f t="shared" ref="AO26:AO33" si="8">AN26+(AP26-AN26)/2</f>
        <v>142.13098166676212</v>
      </c>
      <c r="AP26" s="358">
        <v>151.54466423878665</v>
      </c>
    </row>
    <row r="27" spans="1:42" ht="24">
      <c r="A27" s="91" t="s">
        <v>94</v>
      </c>
      <c r="B27" s="92">
        <v>36.942840000055348</v>
      </c>
      <c r="C27" s="92">
        <v>37.475548684376072</v>
      </c>
      <c r="D27" s="92">
        <v>37.951558077025069</v>
      </c>
      <c r="E27" s="92">
        <v>37.869987538982095</v>
      </c>
      <c r="F27" s="92">
        <v>38.867231781555013</v>
      </c>
      <c r="G27" s="92">
        <v>37.898844227832612</v>
      </c>
      <c r="H27" s="92">
        <v>41.358839775548816</v>
      </c>
      <c r="I27" s="92">
        <v>42.939620308883427</v>
      </c>
      <c r="J27" s="92">
        <v>42.354957396089631</v>
      </c>
      <c r="K27" s="92">
        <v>40.934500512861788</v>
      </c>
      <c r="L27" s="92">
        <v>42.475646671616794</v>
      </c>
      <c r="M27" s="92">
        <v>43.192417414963145</v>
      </c>
      <c r="N27" s="92">
        <v>40.915992589081299</v>
      </c>
      <c r="O27" s="92">
        <v>40.418200948794166</v>
      </c>
      <c r="P27" s="92">
        <v>41.848220722840878</v>
      </c>
      <c r="Q27" s="92">
        <v>40.408645361517927</v>
      </c>
      <c r="R27" s="92">
        <v>39.774250847828107</v>
      </c>
      <c r="S27" s="92">
        <v>42.567076203872183</v>
      </c>
      <c r="T27" s="92">
        <v>42.109518569232833</v>
      </c>
      <c r="U27" s="92">
        <v>45.293844163599211</v>
      </c>
      <c r="V27" s="92">
        <v>32.991927925070975</v>
      </c>
      <c r="W27" s="92">
        <v>25.04746778289682</v>
      </c>
      <c r="X27" s="92">
        <v>19.353958510935005</v>
      </c>
      <c r="Y27" s="92">
        <v>17.156928711046117</v>
      </c>
      <c r="Z27" s="92">
        <v>17.074785031282293</v>
      </c>
      <c r="AA27" s="92">
        <v>16.375992255711886</v>
      </c>
      <c r="AB27" s="92">
        <v>15.835721456589475</v>
      </c>
      <c r="AC27" s="92">
        <v>14.737384689268668</v>
      </c>
      <c r="AD27" s="92">
        <v>14.29044041809432</v>
      </c>
      <c r="AE27" s="92">
        <v>13.664432203547873</v>
      </c>
      <c r="AF27" s="92">
        <v>11.147765001056063</v>
      </c>
      <c r="AG27" s="92">
        <v>8.953022761630729</v>
      </c>
      <c r="AH27" s="92">
        <v>10.232496823442272</v>
      </c>
      <c r="AI27" s="358">
        <v>1.0251801537175607</v>
      </c>
      <c r="AJ27" s="342">
        <f t="shared" si="5"/>
        <v>1.1176235051328562</v>
      </c>
      <c r="AK27" s="358">
        <v>1.2100668565481518</v>
      </c>
      <c r="AL27" s="342">
        <f t="shared" si="6"/>
        <v>1.1174841673893636</v>
      </c>
      <c r="AM27" s="342">
        <f t="shared" si="7"/>
        <v>1.0249014782305754</v>
      </c>
      <c r="AN27" s="358">
        <v>0.93231878907178722</v>
      </c>
      <c r="AO27" s="342">
        <f t="shared" si="8"/>
        <v>0.91172067660326372</v>
      </c>
      <c r="AP27" s="358">
        <v>0.89112256413474011</v>
      </c>
    </row>
    <row r="28" spans="1:42" ht="60">
      <c r="A28" s="91" t="s">
        <v>96</v>
      </c>
      <c r="B28" s="92">
        <v>9.9666123717478534</v>
      </c>
      <c r="C28" s="92">
        <v>9.4950501531544944</v>
      </c>
      <c r="D28" s="92">
        <v>8.8451397157410554</v>
      </c>
      <c r="E28" s="92">
        <v>6.9912803767912859</v>
      </c>
      <c r="F28" s="92">
        <v>5.8022683664206687</v>
      </c>
      <c r="G28" s="92">
        <v>6.5660983724666853</v>
      </c>
      <c r="H28" s="92">
        <v>6.1455709611821323</v>
      </c>
      <c r="I28" s="92">
        <v>5.6114769097522448</v>
      </c>
      <c r="J28" s="92">
        <v>6.8872845002762135</v>
      </c>
      <c r="K28" s="92">
        <v>5.3248567834895368</v>
      </c>
      <c r="L28" s="92">
        <v>5.7907714008370812</v>
      </c>
      <c r="M28" s="92">
        <v>5.5539217324805161</v>
      </c>
      <c r="N28" s="92">
        <v>4.8344533079001462</v>
      </c>
      <c r="O28" s="92">
        <v>4.9528478928576103</v>
      </c>
      <c r="P28" s="92">
        <v>3.7411430750700001</v>
      </c>
      <c r="Q28" s="92">
        <v>0.5142827969999999</v>
      </c>
      <c r="R28" s="92">
        <v>2.4205105565000005</v>
      </c>
      <c r="S28" s="92">
        <v>8.0951598449999995</v>
      </c>
      <c r="T28" s="92">
        <v>0.65483763099999992</v>
      </c>
      <c r="U28" s="92">
        <v>0.86759980817081328</v>
      </c>
      <c r="V28" s="92">
        <v>0.36789253049999998</v>
      </c>
      <c r="W28" s="92">
        <v>0.36709753050000005</v>
      </c>
      <c r="X28" s="92">
        <v>0.36314876549999997</v>
      </c>
      <c r="Y28" s="92">
        <v>0.37683047700000005</v>
      </c>
      <c r="Z28" s="92">
        <v>0.38411372595961113</v>
      </c>
      <c r="AA28" s="92">
        <v>0.38146295012634368</v>
      </c>
      <c r="AB28" s="92">
        <v>0.37113710175640224</v>
      </c>
      <c r="AC28" s="92">
        <v>0.38573797003941179</v>
      </c>
      <c r="AD28" s="92">
        <v>0.37974458653209064</v>
      </c>
      <c r="AE28" s="92">
        <v>0.36949802168756429</v>
      </c>
      <c r="AF28" s="92">
        <v>0.27326455682916645</v>
      </c>
      <c r="AG28" s="92">
        <v>0.28090627806248458</v>
      </c>
      <c r="AH28" s="92">
        <v>0.25521487911849661</v>
      </c>
      <c r="AI28" s="358">
        <v>0.55528930983431057</v>
      </c>
      <c r="AJ28" s="342">
        <f t="shared" si="5"/>
        <v>0.5506071910814152</v>
      </c>
      <c r="AK28" s="358">
        <v>0.54592507232851994</v>
      </c>
      <c r="AL28" s="342">
        <f t="shared" si="6"/>
        <v>0.51745620275907211</v>
      </c>
      <c r="AM28" s="342">
        <f t="shared" si="7"/>
        <v>0.48898733318962417</v>
      </c>
      <c r="AN28" s="358">
        <v>0.46051846362017629</v>
      </c>
      <c r="AO28" s="342">
        <f t="shared" si="8"/>
        <v>0.43498744711576198</v>
      </c>
      <c r="AP28" s="358">
        <v>0.40945643061134773</v>
      </c>
    </row>
    <row r="29" spans="1:42" ht="48">
      <c r="A29" s="91" t="s">
        <v>357</v>
      </c>
      <c r="B29" s="92">
        <v>0</v>
      </c>
      <c r="C29" s="92">
        <v>0</v>
      </c>
      <c r="D29" s="92">
        <v>0</v>
      </c>
      <c r="E29" s="92">
        <v>0</v>
      </c>
      <c r="F29" s="92">
        <v>0</v>
      </c>
      <c r="G29" s="92">
        <v>0</v>
      </c>
      <c r="H29" s="92">
        <v>0</v>
      </c>
      <c r="I29" s="92">
        <v>0</v>
      </c>
      <c r="J29" s="92">
        <v>0</v>
      </c>
      <c r="K29" s="92">
        <v>0</v>
      </c>
      <c r="L29" s="92">
        <v>0</v>
      </c>
      <c r="M29" s="92">
        <v>0</v>
      </c>
      <c r="N29" s="92">
        <v>0</v>
      </c>
      <c r="O29" s="92">
        <v>0</v>
      </c>
      <c r="P29" s="92">
        <v>0</v>
      </c>
      <c r="Q29" s="92">
        <v>0</v>
      </c>
      <c r="R29" s="92">
        <v>0</v>
      </c>
      <c r="S29" s="92">
        <v>0</v>
      </c>
      <c r="T29" s="92">
        <v>0</v>
      </c>
      <c r="U29" s="92">
        <v>0</v>
      </c>
      <c r="V29" s="92">
        <v>0</v>
      </c>
      <c r="W29" s="92">
        <v>0</v>
      </c>
      <c r="X29" s="92">
        <v>0</v>
      </c>
      <c r="Y29" s="92">
        <v>0</v>
      </c>
      <c r="Z29" s="92">
        <v>0</v>
      </c>
      <c r="AA29" s="92">
        <v>0</v>
      </c>
      <c r="AB29" s="92">
        <v>0</v>
      </c>
      <c r="AC29" s="92">
        <v>0</v>
      </c>
      <c r="AD29" s="92">
        <v>0</v>
      </c>
      <c r="AE29" s="92">
        <v>0</v>
      </c>
      <c r="AF29" s="92">
        <v>0</v>
      </c>
      <c r="AG29" s="92">
        <v>0</v>
      </c>
      <c r="AH29" s="92">
        <v>0</v>
      </c>
      <c r="AI29" s="358">
        <v>0</v>
      </c>
      <c r="AJ29" s="342">
        <f t="shared" si="5"/>
        <v>0</v>
      </c>
      <c r="AK29" s="358">
        <v>0</v>
      </c>
      <c r="AL29" s="342">
        <f t="shared" si="6"/>
        <v>0</v>
      </c>
      <c r="AM29" s="342">
        <f t="shared" si="7"/>
        <v>0</v>
      </c>
      <c r="AN29" s="358">
        <v>0</v>
      </c>
      <c r="AO29" s="342">
        <f t="shared" si="8"/>
        <v>0</v>
      </c>
      <c r="AP29" s="358">
        <v>0</v>
      </c>
    </row>
    <row r="30" spans="1:42" ht="48">
      <c r="A30" s="91" t="s">
        <v>358</v>
      </c>
      <c r="B30" s="92">
        <v>0.66000368697803868</v>
      </c>
      <c r="C30" s="92">
        <v>0.6440710582910687</v>
      </c>
      <c r="D30" s="92">
        <v>0.62551936735418612</v>
      </c>
      <c r="E30" s="92">
        <v>0.6008565311675067</v>
      </c>
      <c r="F30" s="92">
        <v>0.6043486141673905</v>
      </c>
      <c r="G30" s="92">
        <v>0.54258239610694603</v>
      </c>
      <c r="H30" s="92">
        <v>0.45986368004719819</v>
      </c>
      <c r="I30" s="92">
        <v>0.38849423373707304</v>
      </c>
      <c r="J30" s="92">
        <v>0.37299811542508859</v>
      </c>
      <c r="K30" s="92">
        <v>0.33589473355132332</v>
      </c>
      <c r="L30" s="92">
        <v>0.30948585586470201</v>
      </c>
      <c r="M30" s="92">
        <v>0.30184692430245619</v>
      </c>
      <c r="N30" s="92">
        <v>0.28744208192793547</v>
      </c>
      <c r="O30" s="92">
        <v>0.26605307355364721</v>
      </c>
      <c r="P30" s="92">
        <v>0.24837440336673544</v>
      </c>
      <c r="Q30" s="92">
        <v>0.2354973473046639</v>
      </c>
      <c r="R30" s="92">
        <v>0.23025922280483824</v>
      </c>
      <c r="S30" s="92">
        <v>0.21258055261792649</v>
      </c>
      <c r="T30" s="92">
        <v>0.21279880780541918</v>
      </c>
      <c r="U30" s="92">
        <v>0.19621141355597119</v>
      </c>
      <c r="V30" s="92">
        <v>0.19555664799349293</v>
      </c>
      <c r="W30" s="92">
        <v>0.19533839280600013</v>
      </c>
      <c r="X30" s="92">
        <v>0.17613193630663929</v>
      </c>
      <c r="Y30" s="92">
        <v>0.17307636368174095</v>
      </c>
      <c r="Z30" s="92">
        <v>0.16718347361943703</v>
      </c>
      <c r="AA30" s="92">
        <v>0.18246133674392867</v>
      </c>
      <c r="AB30" s="92">
        <v>0.17787797780658116</v>
      </c>
      <c r="AC30" s="92">
        <v>0.16543743211949513</v>
      </c>
      <c r="AD30" s="92">
        <v>0.16892951511937895</v>
      </c>
      <c r="AE30" s="92">
        <v>0.1582350109322348</v>
      </c>
      <c r="AF30" s="92">
        <v>0.14186587187027944</v>
      </c>
      <c r="AG30" s="92">
        <v>0.14339365818272864</v>
      </c>
      <c r="AH30" s="92">
        <v>0.14760122594239353</v>
      </c>
      <c r="AI30" s="358">
        <v>0.1230818676609995</v>
      </c>
      <c r="AJ30" s="342">
        <f t="shared" si="5"/>
        <v>0.12107797634666395</v>
      </c>
      <c r="AK30" s="358">
        <v>0.1190740850323284</v>
      </c>
      <c r="AL30" s="342">
        <f t="shared" si="6"/>
        <v>0.11367667373224051</v>
      </c>
      <c r="AM30" s="342">
        <f t="shared" si="7"/>
        <v>0.10827926243215263</v>
      </c>
      <c r="AN30" s="358">
        <v>0.10288185113206474</v>
      </c>
      <c r="AO30" s="342">
        <f t="shared" si="8"/>
        <v>9.7502455581948061E-2</v>
      </c>
      <c r="AP30" s="358">
        <v>9.2123060031831364E-2</v>
      </c>
    </row>
    <row r="31" spans="1:42" ht="48">
      <c r="A31" s="91" t="s">
        <v>359</v>
      </c>
      <c r="B31" s="92">
        <v>1.8747913019298399</v>
      </c>
      <c r="C31" s="92">
        <v>2.1552775246657756</v>
      </c>
      <c r="D31" s="92">
        <v>2.1088591050168808</v>
      </c>
      <c r="E31" s="92">
        <v>1.8106182298273219</v>
      </c>
      <c r="F31" s="92">
        <v>2.5116929960101975</v>
      </c>
      <c r="G31" s="92">
        <v>2.6208629547354239</v>
      </c>
      <c r="H31" s="92">
        <v>3.1163242319296067</v>
      </c>
      <c r="I31" s="92">
        <v>3.2390032219097491</v>
      </c>
      <c r="J31" s="92">
        <v>2.8854189962149395</v>
      </c>
      <c r="K31" s="92">
        <v>3.2797529423901821</v>
      </c>
      <c r="L31" s="92">
        <v>2.750554587744177</v>
      </c>
      <c r="M31" s="92">
        <v>2.6474939248863714</v>
      </c>
      <c r="N31" s="92">
        <v>3.1246229515784418</v>
      </c>
      <c r="O31" s="92">
        <v>3.6492044179353842</v>
      </c>
      <c r="P31" s="92">
        <v>4.3394723960733943</v>
      </c>
      <c r="Q31" s="92">
        <v>14.703733708310082</v>
      </c>
      <c r="R31" s="92">
        <v>14.834883438718439</v>
      </c>
      <c r="S31" s="92">
        <v>22.590283467953643</v>
      </c>
      <c r="T31" s="92">
        <v>14.389505296787783</v>
      </c>
      <c r="U31" s="92">
        <v>12.072306357366285</v>
      </c>
      <c r="V31" s="92">
        <v>13.075138952119632</v>
      </c>
      <c r="W31" s="92">
        <v>2.6485786927490094</v>
      </c>
      <c r="X31" s="92">
        <v>3.4095908044663363</v>
      </c>
      <c r="Y31" s="92">
        <v>3.3687637485926354</v>
      </c>
      <c r="Z31" s="92">
        <v>2.4399837181658781</v>
      </c>
      <c r="AA31" s="92">
        <v>2.3354499420670356</v>
      </c>
      <c r="AB31" s="92">
        <v>2.6383614419142494</v>
      </c>
      <c r="AC31" s="92">
        <v>2.4231183019328761</v>
      </c>
      <c r="AD31" s="92">
        <v>3.3553339932311212</v>
      </c>
      <c r="AE31" s="92">
        <v>2.6183517997556378</v>
      </c>
      <c r="AF31" s="92">
        <v>1.8278890621565886</v>
      </c>
      <c r="AG31" s="92">
        <v>1.9082703338464393</v>
      </c>
      <c r="AH31" s="92">
        <v>1.817964555597043</v>
      </c>
      <c r="AI31" s="358">
        <v>2.2838422891974361</v>
      </c>
      <c r="AJ31" s="342">
        <f t="shared" si="5"/>
        <v>2.2384308593910429</v>
      </c>
      <c r="AK31" s="358">
        <v>2.1930194295846501</v>
      </c>
      <c r="AL31" s="342">
        <f t="shared" si="6"/>
        <v>2.0927067161686845</v>
      </c>
      <c r="AM31" s="342">
        <f t="shared" si="7"/>
        <v>1.9923940027527189</v>
      </c>
      <c r="AN31" s="358">
        <v>1.8920812893367533</v>
      </c>
      <c r="AO31" s="342">
        <f t="shared" si="8"/>
        <v>1.7961792265018173</v>
      </c>
      <c r="AP31" s="358">
        <v>1.7002771636668812</v>
      </c>
    </row>
    <row r="32" spans="1:42" ht="36">
      <c r="A32" s="91" t="s">
        <v>409</v>
      </c>
      <c r="B32" s="92">
        <v>0.52598918918918902</v>
      </c>
      <c r="C32" s="92">
        <v>0.51051891891891887</v>
      </c>
      <c r="D32" s="92">
        <v>0.49504864864864861</v>
      </c>
      <c r="E32" s="92">
        <v>0.4795783783783783</v>
      </c>
      <c r="F32" s="92">
        <v>0.46410810810810799</v>
      </c>
      <c r="G32" s="92">
        <v>0.44863783783783767</v>
      </c>
      <c r="H32" s="92">
        <v>0.43316756756756752</v>
      </c>
      <c r="I32" s="92">
        <v>0.41769729729729721</v>
      </c>
      <c r="J32" s="92">
        <v>0.40222702702702701</v>
      </c>
      <c r="K32" s="92">
        <v>0.38675675675675664</v>
      </c>
      <c r="L32" s="92">
        <v>0.37128648648648643</v>
      </c>
      <c r="M32" s="92">
        <v>0.37128648648648643</v>
      </c>
      <c r="N32" s="92">
        <v>0.37128648648648643</v>
      </c>
      <c r="O32" s="92">
        <v>0.36686640926640918</v>
      </c>
      <c r="P32" s="92">
        <v>0.36244633204633198</v>
      </c>
      <c r="Q32" s="92">
        <v>0.35802625482625478</v>
      </c>
      <c r="R32" s="92">
        <v>0.35360617760617757</v>
      </c>
      <c r="S32" s="92">
        <v>0.34918610038610037</v>
      </c>
      <c r="T32" s="92">
        <v>0.34476602316602312</v>
      </c>
      <c r="U32" s="92">
        <v>0.34034594594594592</v>
      </c>
      <c r="V32" s="92">
        <v>0.30940540540540534</v>
      </c>
      <c r="W32" s="92">
        <v>0.27846486486486483</v>
      </c>
      <c r="X32" s="92">
        <v>0.30940540540540534</v>
      </c>
      <c r="Y32" s="92">
        <v>0.36942932575572818</v>
      </c>
      <c r="Z32" s="92">
        <v>0.35444863380445951</v>
      </c>
      <c r="AA32" s="92">
        <v>0.45710835197692773</v>
      </c>
      <c r="AB32" s="92">
        <v>0.58497528442526459</v>
      </c>
      <c r="AC32" s="92">
        <v>0.43722176158111808</v>
      </c>
      <c r="AD32" s="92">
        <v>0.28078935035467001</v>
      </c>
      <c r="AE32" s="92">
        <v>0.25620928185934061</v>
      </c>
      <c r="AF32" s="92">
        <v>0.26839816356175705</v>
      </c>
      <c r="AG32" s="92">
        <v>0.26839816356175705</v>
      </c>
      <c r="AH32" s="92">
        <v>0.26839816356175705</v>
      </c>
      <c r="AI32" s="342">
        <v>0</v>
      </c>
      <c r="AJ32" s="342">
        <f t="shared" si="5"/>
        <v>0</v>
      </c>
      <c r="AK32" s="342">
        <v>0</v>
      </c>
      <c r="AL32" s="342">
        <f t="shared" si="6"/>
        <v>0</v>
      </c>
      <c r="AM32" s="342">
        <f t="shared" si="7"/>
        <v>0</v>
      </c>
      <c r="AN32" s="342">
        <v>0</v>
      </c>
      <c r="AO32" s="342">
        <f t="shared" si="8"/>
        <v>0</v>
      </c>
      <c r="AP32" s="342">
        <v>0</v>
      </c>
    </row>
    <row r="33" spans="1:42" ht="36">
      <c r="A33" s="91" t="s">
        <v>99</v>
      </c>
      <c r="B33" s="92">
        <v>169.22261751468272</v>
      </c>
      <c r="C33" s="92">
        <v>184.99167674264925</v>
      </c>
      <c r="D33" s="92">
        <v>200.76073597061574</v>
      </c>
      <c r="E33" s="92">
        <v>216.64051703859008</v>
      </c>
      <c r="F33" s="92">
        <v>218.18628260690258</v>
      </c>
      <c r="G33" s="92">
        <v>219.73204817521503</v>
      </c>
      <c r="H33" s="92">
        <v>225.48472983102116</v>
      </c>
      <c r="I33" s="92">
        <v>229.65277459739266</v>
      </c>
      <c r="J33" s="92">
        <v>232.19585572831394</v>
      </c>
      <c r="K33" s="92">
        <v>255.50612861758935</v>
      </c>
      <c r="L33" s="92">
        <v>266.70629871889599</v>
      </c>
      <c r="M33" s="92">
        <v>287.19665979434717</v>
      </c>
      <c r="N33" s="92">
        <v>307.6870208697984</v>
      </c>
      <c r="O33" s="92">
        <v>322.68659591331493</v>
      </c>
      <c r="P33" s="92">
        <v>337.68617095683146</v>
      </c>
      <c r="Q33" s="92">
        <v>321.45333033369127</v>
      </c>
      <c r="R33" s="92">
        <v>203.68346498235002</v>
      </c>
      <c r="S33" s="92">
        <v>152.03556913345935</v>
      </c>
      <c r="T33" s="92">
        <v>169.13657862859586</v>
      </c>
      <c r="U33" s="92">
        <v>152.36919222177039</v>
      </c>
      <c r="V33" s="92">
        <v>214.29937809130539</v>
      </c>
      <c r="W33" s="92">
        <v>138.51684515397122</v>
      </c>
      <c r="X33" s="92">
        <v>158.32707272880901</v>
      </c>
      <c r="Y33" s="92">
        <v>145.02225511580593</v>
      </c>
      <c r="Z33" s="92">
        <v>131.48382271856681</v>
      </c>
      <c r="AA33" s="92">
        <v>119.29964108489729</v>
      </c>
      <c r="AB33" s="92">
        <v>128.04340467264529</v>
      </c>
      <c r="AC33" s="92">
        <v>137.41674493633721</v>
      </c>
      <c r="AD33" s="92">
        <v>104.69613843176064</v>
      </c>
      <c r="AE33" s="92">
        <v>94.620206299631434</v>
      </c>
      <c r="AF33" s="92">
        <v>92.962891919448666</v>
      </c>
      <c r="AG33" s="92">
        <v>78.898182929426454</v>
      </c>
      <c r="AH33" s="92">
        <v>78.898182929426468</v>
      </c>
      <c r="AI33" s="358">
        <v>90.212513905175129</v>
      </c>
      <c r="AJ33" s="342">
        <f t="shared" si="5"/>
        <v>89.172456548521609</v>
      </c>
      <c r="AK33" s="358">
        <v>88.132399191868089</v>
      </c>
      <c r="AL33" s="342">
        <f t="shared" si="6"/>
        <v>87.09257195276156</v>
      </c>
      <c r="AM33" s="342">
        <f t="shared" si="7"/>
        <v>86.052744713655017</v>
      </c>
      <c r="AN33" s="358">
        <v>85.012917474548487</v>
      </c>
      <c r="AO33" s="342">
        <f t="shared" si="8"/>
        <v>83.973003656671963</v>
      </c>
      <c r="AP33" s="358">
        <v>82.933089838795439</v>
      </c>
    </row>
    <row r="34" spans="1:42" ht="60">
      <c r="A34" s="91" t="s">
        <v>410</v>
      </c>
      <c r="B34" s="143">
        <v>0</v>
      </c>
      <c r="C34" s="143">
        <v>0</v>
      </c>
      <c r="D34" s="143">
        <v>0</v>
      </c>
      <c r="E34" s="143">
        <v>0</v>
      </c>
      <c r="F34" s="143">
        <v>0</v>
      </c>
      <c r="G34" s="143">
        <v>0</v>
      </c>
      <c r="H34" s="143">
        <v>0</v>
      </c>
      <c r="I34" s="143">
        <v>0</v>
      </c>
      <c r="J34" s="143">
        <v>0</v>
      </c>
      <c r="K34" s="143">
        <v>0</v>
      </c>
      <c r="L34" s="143">
        <v>0</v>
      </c>
      <c r="M34" s="143">
        <v>0</v>
      </c>
      <c r="N34" s="143">
        <v>0</v>
      </c>
      <c r="O34" s="143">
        <v>0</v>
      </c>
      <c r="P34" s="143">
        <v>0</v>
      </c>
      <c r="Q34" s="143">
        <v>0</v>
      </c>
      <c r="R34" s="143">
        <v>0</v>
      </c>
      <c r="S34" s="143">
        <v>0</v>
      </c>
      <c r="T34" s="143">
        <v>0</v>
      </c>
      <c r="U34" s="143">
        <v>0</v>
      </c>
      <c r="V34" s="143">
        <v>0</v>
      </c>
      <c r="W34" s="143">
        <v>0</v>
      </c>
      <c r="X34" s="143">
        <v>0</v>
      </c>
      <c r="Y34" s="143">
        <v>0</v>
      </c>
      <c r="Z34" s="143">
        <v>0</v>
      </c>
      <c r="AA34" s="143">
        <v>0</v>
      </c>
      <c r="AB34" s="143">
        <v>0</v>
      </c>
      <c r="AC34" s="143">
        <v>0</v>
      </c>
      <c r="AD34" s="143">
        <v>0</v>
      </c>
      <c r="AE34" s="143">
        <v>0</v>
      </c>
      <c r="AF34" s="143">
        <v>0</v>
      </c>
      <c r="AG34" s="143">
        <v>0</v>
      </c>
      <c r="AH34" s="143">
        <v>0</v>
      </c>
      <c r="AI34" s="342">
        <v>0</v>
      </c>
      <c r="AJ34" s="342">
        <v>0</v>
      </c>
      <c r="AK34" s="342">
        <v>0</v>
      </c>
      <c r="AL34" s="342">
        <v>0</v>
      </c>
      <c r="AM34" s="342">
        <v>0</v>
      </c>
      <c r="AN34" s="342">
        <v>0</v>
      </c>
      <c r="AO34" s="342">
        <v>0</v>
      </c>
      <c r="AP34" s="342">
        <v>0</v>
      </c>
    </row>
    <row r="35" spans="1:42">
      <c r="A35" s="93" t="s">
        <v>411</v>
      </c>
      <c r="B35" s="94">
        <v>424.53535730294504</v>
      </c>
      <c r="C35" s="94">
        <v>444.0276331922833</v>
      </c>
      <c r="D35" s="94">
        <v>461.82334710673422</v>
      </c>
      <c r="E35" s="94">
        <v>453.97094533281205</v>
      </c>
      <c r="F35" s="94">
        <v>405.58315751964176</v>
      </c>
      <c r="G35" s="94">
        <v>405.62170141636005</v>
      </c>
      <c r="H35" s="94">
        <v>459.58399561229714</v>
      </c>
      <c r="I35" s="94">
        <v>467.36594195034326</v>
      </c>
      <c r="J35" s="94">
        <v>510.42624462618448</v>
      </c>
      <c r="K35" s="94">
        <v>485.38357973305324</v>
      </c>
      <c r="L35" s="94">
        <v>508.77924040011743</v>
      </c>
      <c r="M35" s="94">
        <v>498.20247222667632</v>
      </c>
      <c r="N35" s="94">
        <v>507.82004361702855</v>
      </c>
      <c r="O35" s="94">
        <v>552.83222662107767</v>
      </c>
      <c r="P35" s="94">
        <v>565.58704632536421</v>
      </c>
      <c r="Q35" s="94">
        <v>566.91478650792601</v>
      </c>
      <c r="R35" s="94">
        <v>454.03714047004581</v>
      </c>
      <c r="S35" s="94">
        <v>395.19378455992194</v>
      </c>
      <c r="T35" s="94">
        <v>393.18050456582824</v>
      </c>
      <c r="U35" s="94">
        <v>374.94064332093456</v>
      </c>
      <c r="V35" s="94">
        <v>433.56701335394246</v>
      </c>
      <c r="W35" s="94">
        <v>312.41238489542377</v>
      </c>
      <c r="X35" s="94">
        <v>344.51102195674571</v>
      </c>
      <c r="Y35" s="94">
        <v>312.71670423444777</v>
      </c>
      <c r="Z35" s="94">
        <v>243.98674818751522</v>
      </c>
      <c r="AA35" s="94">
        <v>248.68827198605379</v>
      </c>
      <c r="AB35" s="94">
        <v>281.94044786735736</v>
      </c>
      <c r="AC35" s="94">
        <v>308.09718716458872</v>
      </c>
      <c r="AD35" s="94">
        <v>246.18125265857276</v>
      </c>
      <c r="AE35" s="94">
        <v>240.82109272609148</v>
      </c>
      <c r="AF35" s="94">
        <v>225.74914406598936</v>
      </c>
      <c r="AG35" s="94">
        <v>224.90800656058252</v>
      </c>
      <c r="AH35" s="94">
        <v>236.27008336468839</v>
      </c>
      <c r="AI35" s="336">
        <v>275.39122589235967</v>
      </c>
      <c r="AJ35" s="337">
        <f>SUM(AJ25:AJ34)</f>
        <v>279.22131555517603</v>
      </c>
      <c r="AK35" s="337">
        <f t="shared" ref="AK35:AP35" si="9">SUM(AK25:AK34)</f>
        <v>283.05140521799228</v>
      </c>
      <c r="AL35" s="337">
        <f t="shared" si="9"/>
        <v>288.49207836355549</v>
      </c>
      <c r="AM35" s="337">
        <f t="shared" si="9"/>
        <v>293.93275150911859</v>
      </c>
      <c r="AN35" s="337">
        <f t="shared" si="9"/>
        <v>299.3734246546818</v>
      </c>
      <c r="AO35" s="337">
        <f t="shared" si="9"/>
        <v>305.87636540138226</v>
      </c>
      <c r="AP35" s="337">
        <f t="shared" si="9"/>
        <v>312.37930614808272</v>
      </c>
    </row>
    <row r="36" spans="1:42" ht="15">
      <c r="A36" s="95"/>
      <c r="B36" s="96"/>
      <c r="C36" s="96"/>
      <c r="D36" s="96"/>
      <c r="E36" s="96"/>
      <c r="F36" s="96"/>
      <c r="G36" s="96"/>
      <c r="H36" s="96"/>
      <c r="I36" s="96"/>
      <c r="J36" s="96"/>
      <c r="K36" s="70"/>
      <c r="L36" s="70"/>
      <c r="M36" s="70"/>
      <c r="N36" s="70"/>
      <c r="O36" s="70"/>
      <c r="P36" s="70"/>
      <c r="Q36" s="70"/>
      <c r="R36" s="70"/>
      <c r="S36" s="70"/>
      <c r="T36" s="70"/>
      <c r="U36" s="70"/>
      <c r="V36" s="70"/>
      <c r="W36" s="70"/>
      <c r="X36" s="70"/>
      <c r="Y36" s="70"/>
      <c r="Z36" s="70"/>
      <c r="AA36" s="70"/>
      <c r="AB36" s="70"/>
      <c r="AC36" s="70"/>
      <c r="AD36" s="70"/>
      <c r="AE36" s="70"/>
      <c r="AF36" s="70"/>
      <c r="AG36" s="97"/>
      <c r="AH36" s="70"/>
      <c r="AJ36" s="153"/>
    </row>
    <row r="37" spans="1:42">
      <c r="A37" s="98" t="s">
        <v>397</v>
      </c>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426" t="s">
        <v>393</v>
      </c>
      <c r="AJ37" s="426"/>
      <c r="AK37" s="426"/>
      <c r="AL37" s="426"/>
      <c r="AM37" s="426"/>
      <c r="AN37" s="426"/>
      <c r="AO37" s="426"/>
      <c r="AP37" s="426"/>
    </row>
    <row r="38" spans="1:42" ht="105.6">
      <c r="A38" s="75" t="s">
        <v>483</v>
      </c>
      <c r="B38" s="76">
        <v>1990</v>
      </c>
      <c r="C38" s="76">
        <v>1991</v>
      </c>
      <c r="D38" s="76">
        <v>1992</v>
      </c>
      <c r="E38" s="76">
        <v>1993</v>
      </c>
      <c r="F38" s="76">
        <v>1994</v>
      </c>
      <c r="G38" s="76">
        <v>1995</v>
      </c>
      <c r="H38" s="76">
        <v>1996</v>
      </c>
      <c r="I38" s="76">
        <v>1997</v>
      </c>
      <c r="J38" s="76">
        <v>1998</v>
      </c>
      <c r="K38" s="76">
        <v>1999</v>
      </c>
      <c r="L38" s="76">
        <v>2000</v>
      </c>
      <c r="M38" s="76">
        <v>2001</v>
      </c>
      <c r="N38" s="76">
        <v>2002</v>
      </c>
      <c r="O38" s="76">
        <v>2003</v>
      </c>
      <c r="P38" s="76">
        <v>2004</v>
      </c>
      <c r="Q38" s="76">
        <v>2005</v>
      </c>
      <c r="R38" s="76">
        <v>2006</v>
      </c>
      <c r="S38" s="76">
        <v>2007</v>
      </c>
      <c r="T38" s="76">
        <v>2008</v>
      </c>
      <c r="U38" s="76">
        <v>2009</v>
      </c>
      <c r="V38" s="76">
        <v>2010</v>
      </c>
      <c r="W38" s="76">
        <v>2011</v>
      </c>
      <c r="X38" s="76">
        <v>2012</v>
      </c>
      <c r="Y38" s="76">
        <v>2013</v>
      </c>
      <c r="Z38" s="76">
        <v>2014</v>
      </c>
      <c r="AA38" s="76">
        <v>2015</v>
      </c>
      <c r="AB38" s="76">
        <v>2016</v>
      </c>
      <c r="AC38" s="76">
        <v>2017</v>
      </c>
      <c r="AD38" s="76">
        <v>2018</v>
      </c>
      <c r="AE38" s="76">
        <v>2019</v>
      </c>
      <c r="AF38" s="76">
        <v>2020</v>
      </c>
      <c r="AG38" s="77">
        <v>2021</v>
      </c>
      <c r="AH38" s="77" t="s">
        <v>395</v>
      </c>
      <c r="AI38" s="76">
        <v>2023</v>
      </c>
      <c r="AJ38" s="152">
        <v>2024</v>
      </c>
      <c r="AK38" s="76">
        <v>2025</v>
      </c>
      <c r="AL38" s="152">
        <v>2026</v>
      </c>
      <c r="AM38" s="152">
        <v>2027</v>
      </c>
      <c r="AN38" s="76">
        <v>2028</v>
      </c>
      <c r="AO38" s="152">
        <v>2029</v>
      </c>
      <c r="AP38" s="76">
        <v>2030</v>
      </c>
    </row>
    <row r="39" spans="1:42">
      <c r="A39" s="100" t="s">
        <v>120</v>
      </c>
      <c r="B39" s="92">
        <v>21126.712354010728</v>
      </c>
      <c r="C39" s="92">
        <v>21288.679706953135</v>
      </c>
      <c r="D39" s="92">
        <v>21686.546214115864</v>
      </c>
      <c r="E39" s="92">
        <v>21687.621134843044</v>
      </c>
      <c r="F39" s="92">
        <v>22271.507375820369</v>
      </c>
      <c r="G39" s="92">
        <v>23004.761555531542</v>
      </c>
      <c r="H39" s="92">
        <v>23436.274599197404</v>
      </c>
      <c r="I39" s="92">
        <v>22913.405956495375</v>
      </c>
      <c r="J39" s="92">
        <v>16500.854737043734</v>
      </c>
      <c r="K39" s="92">
        <v>11847.02128562996</v>
      </c>
      <c r="L39" s="92">
        <v>10536.430637937734</v>
      </c>
      <c r="M39" s="92">
        <v>10541.454737061367</v>
      </c>
      <c r="N39" s="92">
        <v>8477.5033404306032</v>
      </c>
      <c r="O39" s="92">
        <v>8350.4582158086669</v>
      </c>
      <c r="P39" s="92">
        <v>5894.2345518871753</v>
      </c>
      <c r="Q39" s="92">
        <v>5944.7313095475056</v>
      </c>
      <c r="R39" s="92">
        <v>5312.5226577302656</v>
      </c>
      <c r="S39" s="92">
        <v>4937.1351059622002</v>
      </c>
      <c r="T39" s="92">
        <v>4049.16832379276</v>
      </c>
      <c r="U39" s="92">
        <v>3406.8396762983994</v>
      </c>
      <c r="V39" s="92">
        <v>1950.9722476595286</v>
      </c>
      <c r="W39" s="92">
        <v>1148.8575500489828</v>
      </c>
      <c r="X39" s="92">
        <v>820.72085756337708</v>
      </c>
      <c r="Y39" s="92">
        <v>805.16558335617719</v>
      </c>
      <c r="Z39" s="92">
        <v>965.62912624137266</v>
      </c>
      <c r="AA39" s="92">
        <v>1060.8276384081271</v>
      </c>
      <c r="AB39" s="92">
        <v>828.84704770884571</v>
      </c>
      <c r="AC39" s="92">
        <v>1384.4608606956215</v>
      </c>
      <c r="AD39" s="92">
        <v>877.01469294585797</v>
      </c>
      <c r="AE39" s="92">
        <v>722.57248670801243</v>
      </c>
      <c r="AF39" s="92">
        <v>566.83139413575361</v>
      </c>
      <c r="AG39" s="92">
        <v>425.67158038152274</v>
      </c>
      <c r="AH39" s="92">
        <v>386.25788893267321</v>
      </c>
      <c r="AI39" s="143">
        <v>572.24681736846469</v>
      </c>
      <c r="AJ39" s="143">
        <f>AI39+(AK39-AI39)/2</f>
        <v>554.74258725148684</v>
      </c>
      <c r="AK39" s="143">
        <v>537.2383571345091</v>
      </c>
      <c r="AL39" s="143">
        <f>AK39+(AN39-AK39)/3</f>
        <v>525.3680478756728</v>
      </c>
      <c r="AM39" s="143">
        <f>AK39+(AN39-AK39)*2/3</f>
        <v>513.49773861683639</v>
      </c>
      <c r="AN39" s="143">
        <v>501.62742935800003</v>
      </c>
      <c r="AO39" s="143">
        <f>AN39+(AP39-AN39)/2</f>
        <v>484.20752093472726</v>
      </c>
      <c r="AP39" s="143">
        <v>466.78761251145448</v>
      </c>
    </row>
    <row r="40" spans="1:42">
      <c r="A40" s="100" t="s">
        <v>27</v>
      </c>
      <c r="B40" s="92">
        <v>233.24971246084306</v>
      </c>
      <c r="C40" s="92">
        <v>235.59385027309048</v>
      </c>
      <c r="D40" s="92">
        <v>240.39946237875833</v>
      </c>
      <c r="E40" s="92">
        <v>240.02988586084317</v>
      </c>
      <c r="F40" s="92">
        <v>167.57201533250404</v>
      </c>
      <c r="G40" s="92">
        <v>204.5800874259244</v>
      </c>
      <c r="H40" s="92">
        <v>211.63641510800915</v>
      </c>
      <c r="I40" s="92">
        <v>179.30727641550052</v>
      </c>
      <c r="J40" s="92">
        <v>353.33583944090719</v>
      </c>
      <c r="K40" s="92">
        <v>305.07418946540207</v>
      </c>
      <c r="L40" s="92">
        <v>257.70890898133638</v>
      </c>
      <c r="M40" s="92">
        <v>338.11990454523806</v>
      </c>
      <c r="N40" s="92">
        <v>471.96020235207362</v>
      </c>
      <c r="O40" s="92">
        <v>454.17524652507461</v>
      </c>
      <c r="P40" s="92">
        <v>419.23770583507729</v>
      </c>
      <c r="Q40" s="92">
        <v>386.3735125250746</v>
      </c>
      <c r="R40" s="92">
        <v>378.55666543507732</v>
      </c>
      <c r="S40" s="92">
        <v>311.61298549341291</v>
      </c>
      <c r="T40" s="92">
        <v>268.65503548007587</v>
      </c>
      <c r="U40" s="92">
        <v>210.54364399257256</v>
      </c>
      <c r="V40" s="92">
        <v>189.36630206007047</v>
      </c>
      <c r="W40" s="92">
        <v>306.65227325332739</v>
      </c>
      <c r="X40" s="92">
        <v>304.48507859482351</v>
      </c>
      <c r="Y40" s="92">
        <v>304.83527909765667</v>
      </c>
      <c r="Z40" s="92">
        <v>299.0539797056768</v>
      </c>
      <c r="AA40" s="92">
        <v>291.76168160947759</v>
      </c>
      <c r="AB40" s="92">
        <v>283.05581073770685</v>
      </c>
      <c r="AC40" s="92">
        <v>290.34484119050677</v>
      </c>
      <c r="AD40" s="92">
        <v>277.7977715333796</v>
      </c>
      <c r="AE40" s="92">
        <v>299.01574935891489</v>
      </c>
      <c r="AF40" s="92">
        <v>286.26873041952882</v>
      </c>
      <c r="AG40" s="92">
        <v>298.13181568806442</v>
      </c>
      <c r="AH40" s="92">
        <v>306.0325655101272</v>
      </c>
      <c r="AI40" s="143">
        <v>236.22727999628023</v>
      </c>
      <c r="AJ40" s="143">
        <f t="shared" ref="AJ40:AJ47" si="10">AI40+(AK40-AI40)/2</f>
        <v>222.03895768332825</v>
      </c>
      <c r="AK40" s="143">
        <v>207.85063537037624</v>
      </c>
      <c r="AL40" s="143">
        <f t="shared" ref="AL40:AL47" si="11">AK40+(AN40-AK40)/3</f>
        <v>192.11622404787917</v>
      </c>
      <c r="AM40" s="143">
        <f t="shared" ref="AM40:AM47" si="12">AK40+(AN40-AK40)*2/3</f>
        <v>176.3818127253821</v>
      </c>
      <c r="AN40" s="143">
        <v>160.64740140288504</v>
      </c>
      <c r="AO40" s="143">
        <f t="shared" ref="AO40:AO47" si="13">AN40+(AP40-AN40)/2</f>
        <v>145.47515036677447</v>
      </c>
      <c r="AP40" s="143">
        <v>130.30289933066391</v>
      </c>
    </row>
    <row r="41" spans="1:42" ht="48">
      <c r="A41" s="100" t="s">
        <v>121</v>
      </c>
      <c r="B41" s="92">
        <v>9.6420464941992989</v>
      </c>
      <c r="C41" s="92">
        <v>10.591289413477979</v>
      </c>
      <c r="D41" s="92">
        <v>8.7125963576326502</v>
      </c>
      <c r="E41" s="92">
        <v>10.86934859627951</v>
      </c>
      <c r="F41" s="92">
        <v>9.521588176050864</v>
      </c>
      <c r="G41" s="92">
        <v>10.469440283557709</v>
      </c>
      <c r="H41" s="92">
        <v>12.05731448940351</v>
      </c>
      <c r="I41" s="92">
        <v>14.049742142551015</v>
      </c>
      <c r="J41" s="92">
        <v>9.0156700245967887</v>
      </c>
      <c r="K41" s="92">
        <v>8.9327919342728972</v>
      </c>
      <c r="L41" s="92">
        <v>8.128981975652783</v>
      </c>
      <c r="M41" s="92">
        <v>8.0692007360203402</v>
      </c>
      <c r="N41" s="92">
        <v>6.4706106900050226</v>
      </c>
      <c r="O41" s="92">
        <v>7.437713534929415</v>
      </c>
      <c r="P41" s="92">
        <v>6.8367989537525338</v>
      </c>
      <c r="Q41" s="92">
        <v>7.3290439318928522</v>
      </c>
      <c r="R41" s="92">
        <v>5.6439014443698543</v>
      </c>
      <c r="S41" s="92">
        <v>5.4823505260288199</v>
      </c>
      <c r="T41" s="92">
        <v>5.0325811044653621</v>
      </c>
      <c r="U41" s="92">
        <v>4.1952788241161496</v>
      </c>
      <c r="V41" s="92">
        <v>4.8290410958424959</v>
      </c>
      <c r="W41" s="92">
        <v>3.0664208638047876</v>
      </c>
      <c r="X41" s="92">
        <v>3.7707264796323519</v>
      </c>
      <c r="Y41" s="92">
        <v>3.344829878739942</v>
      </c>
      <c r="Z41" s="92">
        <v>3.2937460698371703</v>
      </c>
      <c r="AA41" s="92">
        <v>3.8711540511572027</v>
      </c>
      <c r="AB41" s="92">
        <v>3.7942515844224394</v>
      </c>
      <c r="AC41" s="92">
        <v>3.4357219509585262</v>
      </c>
      <c r="AD41" s="92">
        <v>3.1792652598630897</v>
      </c>
      <c r="AE41" s="92">
        <v>3.7352090539103817</v>
      </c>
      <c r="AF41" s="92">
        <v>3.8919969158798766</v>
      </c>
      <c r="AG41" s="92">
        <v>4.4300416663093269</v>
      </c>
      <c r="AH41" s="92">
        <v>4.2190681930764233</v>
      </c>
      <c r="AI41" s="143">
        <v>3.8329462546177799</v>
      </c>
      <c r="AJ41" s="143">
        <f t="shared" si="10"/>
        <v>3.7312175488615376</v>
      </c>
      <c r="AK41" s="143">
        <v>3.6294888431052956</v>
      </c>
      <c r="AL41" s="143">
        <f t="shared" si="11"/>
        <v>3.4886926180508411</v>
      </c>
      <c r="AM41" s="143">
        <f t="shared" si="12"/>
        <v>3.347896392996387</v>
      </c>
      <c r="AN41" s="143">
        <v>3.2071001679419324</v>
      </c>
      <c r="AO41" s="143">
        <f t="shared" si="13"/>
        <v>3.0671750792308923</v>
      </c>
      <c r="AP41" s="143">
        <v>2.9272499905198521</v>
      </c>
    </row>
    <row r="42" spans="1:42" ht="24">
      <c r="A42" s="100" t="s">
        <v>328</v>
      </c>
      <c r="B42" s="92">
        <v>34.226325120895844</v>
      </c>
      <c r="C42" s="92">
        <v>39.292939260997969</v>
      </c>
      <c r="D42" s="92">
        <v>35.310969478058624</v>
      </c>
      <c r="E42" s="92">
        <v>38.150889099980006</v>
      </c>
      <c r="F42" s="92">
        <v>38.734911506547682</v>
      </c>
      <c r="G42" s="92">
        <v>40.520599962356229</v>
      </c>
      <c r="H42" s="92">
        <v>36.093904845667993</v>
      </c>
      <c r="I42" s="92">
        <v>34.955206727701878</v>
      </c>
      <c r="J42" s="92">
        <v>31.913195208498536</v>
      </c>
      <c r="K42" s="92">
        <v>31.141437806772352</v>
      </c>
      <c r="L42" s="92">
        <v>27.877656163702003</v>
      </c>
      <c r="M42" s="92">
        <v>26.364381352546509</v>
      </c>
      <c r="N42" s="92">
        <v>28.7214967995831</v>
      </c>
      <c r="O42" s="92">
        <v>28.371880434162279</v>
      </c>
      <c r="P42" s="92">
        <v>29.019336270077812</v>
      </c>
      <c r="Q42" s="92">
        <v>24.43445383495569</v>
      </c>
      <c r="R42" s="92">
        <v>24.052289185514894</v>
      </c>
      <c r="S42" s="92">
        <v>24.009458481616274</v>
      </c>
      <c r="T42" s="92">
        <v>23.912483441908364</v>
      </c>
      <c r="U42" s="92">
        <v>23.830024489352208</v>
      </c>
      <c r="V42" s="92">
        <v>26.040666911718937</v>
      </c>
      <c r="W42" s="92">
        <v>25.801366919355395</v>
      </c>
      <c r="X42" s="92">
        <v>29.504286434383008</v>
      </c>
      <c r="Y42" s="92">
        <v>27.864449843402792</v>
      </c>
      <c r="Z42" s="92">
        <v>26.379989521535574</v>
      </c>
      <c r="AA42" s="92">
        <v>31.650946293352852</v>
      </c>
      <c r="AB42" s="92">
        <v>31.772115175326601</v>
      </c>
      <c r="AC42" s="92">
        <v>29.895981147244697</v>
      </c>
      <c r="AD42" s="92">
        <v>32.957218177534607</v>
      </c>
      <c r="AE42" s="92">
        <v>30.982100269441446</v>
      </c>
      <c r="AF42" s="92">
        <v>30.558274186438847</v>
      </c>
      <c r="AG42" s="92">
        <v>29.324977066487882</v>
      </c>
      <c r="AH42" s="92">
        <v>29.409636355107605</v>
      </c>
      <c r="AI42" s="143">
        <v>36.376807798012692</v>
      </c>
      <c r="AJ42" s="143">
        <f t="shared" si="10"/>
        <v>35.77536795151407</v>
      </c>
      <c r="AK42" s="143">
        <v>35.173928105015449</v>
      </c>
      <c r="AL42" s="143">
        <f t="shared" si="11"/>
        <v>34.554189122780251</v>
      </c>
      <c r="AM42" s="143">
        <f t="shared" si="12"/>
        <v>33.934450140545053</v>
      </c>
      <c r="AN42" s="143">
        <v>33.314711158309855</v>
      </c>
      <c r="AO42" s="143">
        <f t="shared" si="13"/>
        <v>32.699507977149153</v>
      </c>
      <c r="AP42" s="143">
        <v>32.084304795988452</v>
      </c>
    </row>
    <row r="43" spans="1:42" ht="36">
      <c r="A43" s="100" t="s">
        <v>330</v>
      </c>
      <c r="B43" s="92">
        <v>14.272394864079802</v>
      </c>
      <c r="C43" s="92">
        <v>16.73041543747642</v>
      </c>
      <c r="D43" s="92">
        <v>14.007084198789277</v>
      </c>
      <c r="E43" s="92">
        <v>13.99115334688449</v>
      </c>
      <c r="F43" s="92">
        <v>12.653647544493444</v>
      </c>
      <c r="G43" s="92">
        <v>10.566211262827835</v>
      </c>
      <c r="H43" s="92">
        <v>10.969258992481588</v>
      </c>
      <c r="I43" s="92">
        <v>11.700877222587321</v>
      </c>
      <c r="J43" s="92">
        <v>11.86569944865566</v>
      </c>
      <c r="K43" s="92">
        <v>12.740637519581549</v>
      </c>
      <c r="L43" s="92">
        <v>16.200199038499299</v>
      </c>
      <c r="M43" s="92">
        <v>12.253043328226205</v>
      </c>
      <c r="N43" s="92">
        <v>11.124247065139171</v>
      </c>
      <c r="O43" s="92">
        <v>11.858668021667709</v>
      </c>
      <c r="P43" s="92">
        <v>10.46598433743328</v>
      </c>
      <c r="Q43" s="92">
        <v>11.567933242848914</v>
      </c>
      <c r="R43" s="92">
        <v>11.235433198451769</v>
      </c>
      <c r="S43" s="92">
        <v>14.264615733981577</v>
      </c>
      <c r="T43" s="92">
        <v>15.020815144372808</v>
      </c>
      <c r="U43" s="92">
        <v>10.926299701610851</v>
      </c>
      <c r="V43" s="92">
        <v>14.981742211050523</v>
      </c>
      <c r="W43" s="92">
        <v>10.727298348894733</v>
      </c>
      <c r="X43" s="92">
        <v>11.339779536944871</v>
      </c>
      <c r="Y43" s="92">
        <v>10.218379993398349</v>
      </c>
      <c r="Z43" s="92">
        <v>9.8289788381755887</v>
      </c>
      <c r="AA43" s="92">
        <v>12.387332638151705</v>
      </c>
      <c r="AB43" s="92">
        <v>14.175041841361354</v>
      </c>
      <c r="AC43" s="92">
        <v>17.584313022436387</v>
      </c>
      <c r="AD43" s="92">
        <v>11.644381587919437</v>
      </c>
      <c r="AE43" s="92">
        <v>7.3863613370116825</v>
      </c>
      <c r="AF43" s="92">
        <v>5.0363000938746678</v>
      </c>
      <c r="AG43" s="92">
        <v>5.7200176277820614</v>
      </c>
      <c r="AH43" s="92">
        <v>5.563423146816719</v>
      </c>
      <c r="AI43" s="143">
        <v>3.859393304561971</v>
      </c>
      <c r="AJ43" s="143">
        <f t="shared" si="10"/>
        <v>3.519310960931973</v>
      </c>
      <c r="AK43" s="143">
        <v>3.1792286173019746</v>
      </c>
      <c r="AL43" s="143">
        <f t="shared" si="11"/>
        <v>2.9393334274032474</v>
      </c>
      <c r="AM43" s="143">
        <f t="shared" si="12"/>
        <v>2.6994382375045207</v>
      </c>
      <c r="AN43" s="143">
        <v>2.4595430476057936</v>
      </c>
      <c r="AO43" s="143">
        <f t="shared" si="13"/>
        <v>2.2272432178965227</v>
      </c>
      <c r="AP43" s="143">
        <v>1.994943388187252</v>
      </c>
    </row>
    <row r="44" spans="1:42" ht="36">
      <c r="A44" s="100" t="s">
        <v>41</v>
      </c>
      <c r="B44" s="92">
        <v>7.63262526317554</v>
      </c>
      <c r="C44" s="92">
        <v>11.650525449436481</v>
      </c>
      <c r="D44" s="92">
        <v>10.078749163136601</v>
      </c>
      <c r="E44" s="92">
        <v>5.7761450844224012</v>
      </c>
      <c r="F44" s="92">
        <v>5.7443960339557893</v>
      </c>
      <c r="G44" s="92">
        <v>6.4269122010440238</v>
      </c>
      <c r="H44" s="92">
        <v>6.4852467705510035</v>
      </c>
      <c r="I44" s="92">
        <v>5.8912231353448323</v>
      </c>
      <c r="J44" s="92">
        <v>5.7327691743891229</v>
      </c>
      <c r="K44" s="92">
        <v>5.6962708233897432</v>
      </c>
      <c r="L44" s="92">
        <v>5.4342615207175342</v>
      </c>
      <c r="M44" s="92">
        <v>5.6021918593806683</v>
      </c>
      <c r="N44" s="92">
        <v>4.7677713583341772</v>
      </c>
      <c r="O44" s="92">
        <v>3.7149038295169574</v>
      </c>
      <c r="P44" s="92">
        <v>3.5247651738072792</v>
      </c>
      <c r="Q44" s="92">
        <v>2.310537012071936</v>
      </c>
      <c r="R44" s="92">
        <v>2.5687881558444365</v>
      </c>
      <c r="S44" s="92">
        <v>2.504211422207844</v>
      </c>
      <c r="T44" s="92">
        <v>2.561203662908468</v>
      </c>
      <c r="U44" s="92">
        <v>2.0944798309051094</v>
      </c>
      <c r="V44" s="92">
        <v>2.3799205737667068</v>
      </c>
      <c r="W44" s="92">
        <v>1.5717798828412921</v>
      </c>
      <c r="X44" s="92">
        <v>1.1875849826525942</v>
      </c>
      <c r="Y44" s="92">
        <v>1.2220710568801385</v>
      </c>
      <c r="Z44" s="92">
        <v>1.300680619896103</v>
      </c>
      <c r="AA44" s="92">
        <v>1.4293986193231993</v>
      </c>
      <c r="AB44" s="92">
        <v>1.8618453054521451</v>
      </c>
      <c r="AC44" s="92">
        <v>1.4700555093921985</v>
      </c>
      <c r="AD44" s="92">
        <v>1.2494101780084854</v>
      </c>
      <c r="AE44" s="92">
        <v>1.3553456783694497</v>
      </c>
      <c r="AF44" s="92">
        <v>1.5447259967618967</v>
      </c>
      <c r="AG44" s="92">
        <v>1.5294144887641674</v>
      </c>
      <c r="AH44" s="92">
        <v>1.512323422622639</v>
      </c>
      <c r="AI44" s="143">
        <v>1.3290632191389458</v>
      </c>
      <c r="AJ44" s="143">
        <f t="shared" si="10"/>
        <v>1.2762016522942041</v>
      </c>
      <c r="AK44" s="143">
        <v>1.2233400854494625</v>
      </c>
      <c r="AL44" s="143">
        <f t="shared" si="11"/>
        <v>1.1580564014092141</v>
      </c>
      <c r="AM44" s="143">
        <f t="shared" si="12"/>
        <v>1.0927727173689656</v>
      </c>
      <c r="AN44" s="143">
        <v>1.0274890333287172</v>
      </c>
      <c r="AO44" s="143">
        <f t="shared" si="13"/>
        <v>0.96393452680536151</v>
      </c>
      <c r="AP44" s="143">
        <v>0.90038002028200581</v>
      </c>
    </row>
    <row r="45" spans="1:42" ht="48">
      <c r="A45" s="100" t="s">
        <v>43</v>
      </c>
      <c r="B45" s="92">
        <v>70.895052814627633</v>
      </c>
      <c r="C45" s="92">
        <v>80.179499414979034</v>
      </c>
      <c r="D45" s="92">
        <v>53.673081748118719</v>
      </c>
      <c r="E45" s="92">
        <v>46.876994424113875</v>
      </c>
      <c r="F45" s="92">
        <v>50.797794422025746</v>
      </c>
      <c r="G45" s="92">
        <v>50.219479517002114</v>
      </c>
      <c r="H45" s="92">
        <v>51.935533341709302</v>
      </c>
      <c r="I45" s="92">
        <v>50.912521855372489</v>
      </c>
      <c r="J45" s="92">
        <v>52.87590985045135</v>
      </c>
      <c r="K45" s="92">
        <v>54.823493403215245</v>
      </c>
      <c r="L45" s="92">
        <v>54.161566917283466</v>
      </c>
      <c r="M45" s="92">
        <v>53.963974053943708</v>
      </c>
      <c r="N45" s="92">
        <v>49.545591772716712</v>
      </c>
      <c r="O45" s="92">
        <v>53.82703587578392</v>
      </c>
      <c r="P45" s="92">
        <v>53.407015457736449</v>
      </c>
      <c r="Q45" s="92">
        <v>61.56608314229647</v>
      </c>
      <c r="R45" s="92">
        <v>57.603288632477508</v>
      </c>
      <c r="S45" s="92">
        <v>58.583787222000112</v>
      </c>
      <c r="T45" s="92">
        <v>67.998921718102096</v>
      </c>
      <c r="U45" s="92">
        <v>59.628746913527294</v>
      </c>
      <c r="V45" s="92">
        <v>56.280892535507384</v>
      </c>
      <c r="W45" s="92">
        <v>53.12936631289142</v>
      </c>
      <c r="X45" s="92">
        <v>53.923280791467839</v>
      </c>
      <c r="Y45" s="92">
        <v>58.426283076642612</v>
      </c>
      <c r="Z45" s="92">
        <v>60.510543000454753</v>
      </c>
      <c r="AA45" s="92">
        <v>58.855453141354658</v>
      </c>
      <c r="AB45" s="92">
        <v>56.631672086369342</v>
      </c>
      <c r="AC45" s="92">
        <v>57.669945541565575</v>
      </c>
      <c r="AD45" s="92">
        <v>60.569412895555566</v>
      </c>
      <c r="AE45" s="92">
        <v>59.443989014898001</v>
      </c>
      <c r="AF45" s="92">
        <v>55.634054555526852</v>
      </c>
      <c r="AG45" s="92">
        <v>55.918001738662461</v>
      </c>
      <c r="AH45" s="92">
        <v>54.738412622415822</v>
      </c>
      <c r="AI45" s="143">
        <v>55.482129232734813</v>
      </c>
      <c r="AJ45" s="143">
        <f t="shared" si="10"/>
        <v>53.486456899862034</v>
      </c>
      <c r="AK45" s="143">
        <v>51.490784566989255</v>
      </c>
      <c r="AL45" s="143">
        <f t="shared" si="11"/>
        <v>49.230236090199824</v>
      </c>
      <c r="AM45" s="143">
        <f t="shared" si="12"/>
        <v>46.969687613410386</v>
      </c>
      <c r="AN45" s="143">
        <v>44.709139136620955</v>
      </c>
      <c r="AO45" s="143">
        <f t="shared" si="13"/>
        <v>42.511405783696702</v>
      </c>
      <c r="AP45" s="143">
        <v>40.313672430772442</v>
      </c>
    </row>
    <row r="46" spans="1:42">
      <c r="A46" s="100" t="s">
        <v>46</v>
      </c>
      <c r="B46" s="92">
        <v>30.650316844603168</v>
      </c>
      <c r="C46" s="92">
        <v>34.261301002278785</v>
      </c>
      <c r="D46" s="92">
        <v>32.173481938946601</v>
      </c>
      <c r="E46" s="92">
        <v>24.702143943219063</v>
      </c>
      <c r="F46" s="92">
        <v>26.249465305034356</v>
      </c>
      <c r="G46" s="92">
        <v>25.867293388466774</v>
      </c>
      <c r="H46" s="92">
        <v>27.089031525308737</v>
      </c>
      <c r="I46" s="92">
        <v>27.081314514066698</v>
      </c>
      <c r="J46" s="92">
        <v>27.143039137841956</v>
      </c>
      <c r="K46" s="92">
        <v>25.127639922221892</v>
      </c>
      <c r="L46" s="92">
        <v>23.843192623638345</v>
      </c>
      <c r="M46" s="92">
        <v>25.236023310742585</v>
      </c>
      <c r="N46" s="92">
        <v>24.116321428550222</v>
      </c>
      <c r="O46" s="92">
        <v>27.598970797008107</v>
      </c>
      <c r="P46" s="92">
        <v>23.802165643932998</v>
      </c>
      <c r="Q46" s="92">
        <v>29.837982529975179</v>
      </c>
      <c r="R46" s="92">
        <v>26.771638191211288</v>
      </c>
      <c r="S46" s="92">
        <v>28.267493123347403</v>
      </c>
      <c r="T46" s="92">
        <v>27.526532343703913</v>
      </c>
      <c r="U46" s="92">
        <v>25.679375320400002</v>
      </c>
      <c r="V46" s="92">
        <v>41.031296646077188</v>
      </c>
      <c r="W46" s="92">
        <v>23.946694282326025</v>
      </c>
      <c r="X46" s="92">
        <v>20.728709108215128</v>
      </c>
      <c r="Y46" s="92">
        <v>20.991807733039995</v>
      </c>
      <c r="Z46" s="92">
        <v>21.506060191518163</v>
      </c>
      <c r="AA46" s="92">
        <v>22.078826885752413</v>
      </c>
      <c r="AB46" s="92">
        <v>24.495656048078136</v>
      </c>
      <c r="AC46" s="92">
        <v>25.110782257453149</v>
      </c>
      <c r="AD46" s="92">
        <v>26.681333709298823</v>
      </c>
      <c r="AE46" s="92">
        <v>29.271503531006076</v>
      </c>
      <c r="AF46" s="92">
        <v>26.451901877826092</v>
      </c>
      <c r="AG46" s="92">
        <v>28.567263471182379</v>
      </c>
      <c r="AH46" s="92">
        <v>28.818737842829275</v>
      </c>
      <c r="AI46" s="143">
        <v>35.325567804617563</v>
      </c>
      <c r="AJ46" s="143">
        <f t="shared" si="10"/>
        <v>34.863544707976452</v>
      </c>
      <c r="AK46" s="143">
        <v>34.40152161133534</v>
      </c>
      <c r="AL46" s="143">
        <f t="shared" si="11"/>
        <v>33.844691607801018</v>
      </c>
      <c r="AM46" s="143">
        <f t="shared" si="12"/>
        <v>33.287861604266695</v>
      </c>
      <c r="AN46" s="143">
        <v>32.731031600732372</v>
      </c>
      <c r="AO46" s="143">
        <f t="shared" si="13"/>
        <v>32.17591011338282</v>
      </c>
      <c r="AP46" s="143">
        <v>31.620788626033267</v>
      </c>
    </row>
    <row r="47" spans="1:42" ht="36">
      <c r="A47" s="100" t="s">
        <v>47</v>
      </c>
      <c r="B47" s="92">
        <v>14.565452948794315</v>
      </c>
      <c r="C47" s="92">
        <v>16.403279758140091</v>
      </c>
      <c r="D47" s="92">
        <v>11.625544078519138</v>
      </c>
      <c r="E47" s="92">
        <v>28.110954822192522</v>
      </c>
      <c r="F47" s="92">
        <v>25.133605902903668</v>
      </c>
      <c r="G47" s="92">
        <v>27.42800348205283</v>
      </c>
      <c r="H47" s="92">
        <v>25.584923060968208</v>
      </c>
      <c r="I47" s="92">
        <v>29.194663821668186</v>
      </c>
      <c r="J47" s="92">
        <v>25.15157518456849</v>
      </c>
      <c r="K47" s="92">
        <v>22.105737018196262</v>
      </c>
      <c r="L47" s="92">
        <v>23.109306196667209</v>
      </c>
      <c r="M47" s="92">
        <v>21.260803447064557</v>
      </c>
      <c r="N47" s="92">
        <v>19.410174747597267</v>
      </c>
      <c r="O47" s="92">
        <v>13.578185172129986</v>
      </c>
      <c r="P47" s="92">
        <v>18.844329892853132</v>
      </c>
      <c r="Q47" s="92">
        <v>29.290847664095516</v>
      </c>
      <c r="R47" s="92">
        <v>9.5390126198236569</v>
      </c>
      <c r="S47" s="92">
        <v>23.319860010844074</v>
      </c>
      <c r="T47" s="92">
        <v>21.455937191942702</v>
      </c>
      <c r="U47" s="92">
        <v>29.298711954815111</v>
      </c>
      <c r="V47" s="92">
        <v>30.253513298465009</v>
      </c>
      <c r="W47" s="92">
        <v>18.244070746920496</v>
      </c>
      <c r="X47" s="92">
        <v>18.008524453880099</v>
      </c>
      <c r="Y47" s="92">
        <v>22.992430372686574</v>
      </c>
      <c r="Z47" s="92">
        <v>16.597341119208455</v>
      </c>
      <c r="AA47" s="92">
        <v>20.897934384388225</v>
      </c>
      <c r="AB47" s="92">
        <v>27.310178736176013</v>
      </c>
      <c r="AC47" s="92">
        <v>29.187200868517312</v>
      </c>
      <c r="AD47" s="92">
        <v>33.812543575220403</v>
      </c>
      <c r="AE47" s="92">
        <v>28.516879821218414</v>
      </c>
      <c r="AF47" s="92">
        <v>25.891674958057333</v>
      </c>
      <c r="AG47" s="92">
        <v>29.275397688278137</v>
      </c>
      <c r="AH47" s="92">
        <v>29.788538162144093</v>
      </c>
      <c r="AI47" s="143">
        <v>34.024446479786235</v>
      </c>
      <c r="AJ47" s="143">
        <f t="shared" si="10"/>
        <v>33.472284495270074</v>
      </c>
      <c r="AK47" s="143">
        <v>32.920122510753913</v>
      </c>
      <c r="AL47" s="143">
        <f t="shared" si="11"/>
        <v>32.26631163344473</v>
      </c>
      <c r="AM47" s="143">
        <f t="shared" si="12"/>
        <v>31.612500756135539</v>
      </c>
      <c r="AN47" s="143">
        <v>30.958689878826352</v>
      </c>
      <c r="AO47" s="143">
        <f t="shared" si="13"/>
        <v>30.311594622881394</v>
      </c>
      <c r="AP47" s="143">
        <v>29.66449936693644</v>
      </c>
    </row>
    <row r="48" spans="1:42">
      <c r="A48" s="101" t="s">
        <v>417</v>
      </c>
      <c r="B48" s="102">
        <v>21541.846280821948</v>
      </c>
      <c r="C48" s="102">
        <v>21733.382806963011</v>
      </c>
      <c r="D48" s="102">
        <v>22092.527183457827</v>
      </c>
      <c r="E48" s="102">
        <v>22096.128650020979</v>
      </c>
      <c r="F48" s="102">
        <v>22607.914800043887</v>
      </c>
      <c r="G48" s="102">
        <v>23380.839583054778</v>
      </c>
      <c r="H48" s="102">
        <v>23818.126227331501</v>
      </c>
      <c r="I48" s="102">
        <v>23266.498782330171</v>
      </c>
      <c r="J48" s="102">
        <v>17017.888434513643</v>
      </c>
      <c r="K48" s="102">
        <v>12312.663483523014</v>
      </c>
      <c r="L48" s="102">
        <v>10952.894711355233</v>
      </c>
      <c r="M48" s="102">
        <v>11032.324259694533</v>
      </c>
      <c r="N48" s="102">
        <v>9093.6197566446008</v>
      </c>
      <c r="O48" s="102">
        <v>8951.0208199989393</v>
      </c>
      <c r="P48" s="102">
        <v>6459.3726534518464</v>
      </c>
      <c r="Q48" s="102">
        <v>6497.441703430718</v>
      </c>
      <c r="R48" s="102">
        <v>5828.4936745930354</v>
      </c>
      <c r="S48" s="102">
        <v>5405.1798679756394</v>
      </c>
      <c r="T48" s="102">
        <v>4481.3318338802392</v>
      </c>
      <c r="U48" s="102">
        <v>3773.0362373256985</v>
      </c>
      <c r="V48" s="102">
        <v>2316.1356229920275</v>
      </c>
      <c r="W48" s="102">
        <v>1591.9968206593444</v>
      </c>
      <c r="X48" s="102">
        <v>1263.6688279453763</v>
      </c>
      <c r="Y48" s="102">
        <v>1255.0611144086247</v>
      </c>
      <c r="Z48" s="102">
        <v>1404.1004453076755</v>
      </c>
      <c r="AA48" s="102">
        <v>1503.7603660310851</v>
      </c>
      <c r="AB48" s="102">
        <v>1271.9436192237388</v>
      </c>
      <c r="AC48" s="102">
        <v>1839.1597021836963</v>
      </c>
      <c r="AD48" s="102">
        <v>1324.906029862638</v>
      </c>
      <c r="AE48" s="102">
        <v>1182.2796247727831</v>
      </c>
      <c r="AF48" s="102">
        <v>1002.1090531396482</v>
      </c>
      <c r="AG48" s="102">
        <v>878.56850981705372</v>
      </c>
      <c r="AH48" s="102">
        <v>846.34059418781294</v>
      </c>
      <c r="AI48" s="339">
        <v>978.70445145821486</v>
      </c>
      <c r="AJ48" s="354">
        <f>AJ39+AJ40+AJ41+AJ42+AJ43+AJ44+AJ45+AJ46+AJ47</f>
        <v>942.90592915152536</v>
      </c>
      <c r="AK48" s="354">
        <v>907.10740684483608</v>
      </c>
      <c r="AL48" s="354">
        <f>AL39+AL40+AL41+AL42+AL43+AL44+AL45+AL46+AL47</f>
        <v>874.96578282464111</v>
      </c>
      <c r="AM48" s="354">
        <f>AM39+AM40+AM41+AM42+AM43+AM44+AM45+AM46+AM47</f>
        <v>842.82415880444614</v>
      </c>
      <c r="AN48" s="354">
        <v>810.68253478425117</v>
      </c>
      <c r="AO48" s="354">
        <f>AO39+AO40+AO41+AO42+AO43+AO44+AO45+AO46+AO47</f>
        <v>773.63944262254449</v>
      </c>
      <c r="AP48" s="354">
        <v>736.59635046083804</v>
      </c>
    </row>
    <row r="49" spans="1:42" ht="15">
      <c r="A49" s="103"/>
      <c r="B49" s="96"/>
      <c r="C49" s="96"/>
      <c r="D49" s="96"/>
      <c r="E49" s="96"/>
      <c r="F49" s="96"/>
      <c r="G49" s="96"/>
      <c r="H49" s="96"/>
      <c r="I49" s="96"/>
      <c r="J49" s="96"/>
      <c r="K49" s="70"/>
      <c r="L49" s="70"/>
      <c r="M49" s="70"/>
      <c r="N49" s="70"/>
      <c r="O49" s="70"/>
      <c r="P49" s="70"/>
      <c r="Q49" s="70"/>
      <c r="R49" s="70"/>
      <c r="S49" s="70"/>
      <c r="T49" s="70"/>
      <c r="U49" s="70"/>
      <c r="V49" s="70"/>
      <c r="W49" s="70"/>
      <c r="X49" s="70"/>
      <c r="Y49" s="70"/>
      <c r="Z49" s="70"/>
      <c r="AA49" s="70"/>
      <c r="AB49" s="70"/>
      <c r="AC49" s="70"/>
      <c r="AD49" s="70"/>
      <c r="AE49" s="70"/>
      <c r="AF49" s="70"/>
      <c r="AG49" s="70"/>
      <c r="AH49" s="70"/>
    </row>
    <row r="50" spans="1:42">
      <c r="A50" s="104" t="s">
        <v>398</v>
      </c>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428" t="s">
        <v>393</v>
      </c>
      <c r="AJ50" s="428"/>
      <c r="AK50" s="428"/>
      <c r="AL50" s="428"/>
      <c r="AM50" s="428"/>
      <c r="AN50" s="428"/>
      <c r="AO50" s="428"/>
      <c r="AP50" s="428"/>
    </row>
    <row r="51" spans="1:42" ht="105.6">
      <c r="A51" s="75" t="s">
        <v>483</v>
      </c>
      <c r="B51" s="76">
        <v>1990</v>
      </c>
      <c r="C51" s="76">
        <v>1991</v>
      </c>
      <c r="D51" s="76">
        <v>1992</v>
      </c>
      <c r="E51" s="76">
        <v>1993</v>
      </c>
      <c r="F51" s="76">
        <v>1994</v>
      </c>
      <c r="G51" s="76">
        <v>1995</v>
      </c>
      <c r="H51" s="76">
        <v>1996</v>
      </c>
      <c r="I51" s="76">
        <v>1997</v>
      </c>
      <c r="J51" s="76">
        <v>1998</v>
      </c>
      <c r="K51" s="76">
        <v>1999</v>
      </c>
      <c r="L51" s="76">
        <v>2000</v>
      </c>
      <c r="M51" s="76">
        <v>2001</v>
      </c>
      <c r="N51" s="76">
        <v>2002</v>
      </c>
      <c r="O51" s="76">
        <v>2003</v>
      </c>
      <c r="P51" s="76">
        <v>2004</v>
      </c>
      <c r="Q51" s="76">
        <v>2005</v>
      </c>
      <c r="R51" s="76">
        <v>2006</v>
      </c>
      <c r="S51" s="76">
        <v>2007</v>
      </c>
      <c r="T51" s="76">
        <v>2008</v>
      </c>
      <c r="U51" s="76">
        <v>2009</v>
      </c>
      <c r="V51" s="76">
        <v>2010</v>
      </c>
      <c r="W51" s="76">
        <v>2011</v>
      </c>
      <c r="X51" s="76">
        <v>2012</v>
      </c>
      <c r="Y51" s="76">
        <v>2013</v>
      </c>
      <c r="Z51" s="76">
        <v>2014</v>
      </c>
      <c r="AA51" s="76">
        <v>2015</v>
      </c>
      <c r="AB51" s="76">
        <v>2016</v>
      </c>
      <c r="AC51" s="76">
        <v>2017</v>
      </c>
      <c r="AD51" s="76">
        <v>2018</v>
      </c>
      <c r="AE51" s="76">
        <v>2019</v>
      </c>
      <c r="AF51" s="76">
        <v>2020</v>
      </c>
      <c r="AG51" s="77">
        <v>2021</v>
      </c>
      <c r="AH51" s="77" t="s">
        <v>395</v>
      </c>
      <c r="AI51" s="76">
        <v>2023</v>
      </c>
      <c r="AJ51" s="152">
        <v>2024</v>
      </c>
      <c r="AK51" s="76">
        <v>2025</v>
      </c>
      <c r="AL51" s="152">
        <v>2026</v>
      </c>
      <c r="AM51" s="152">
        <v>2027</v>
      </c>
      <c r="AN51" s="76">
        <v>2028</v>
      </c>
      <c r="AO51" s="152">
        <v>2029</v>
      </c>
      <c r="AP51" s="76">
        <v>2030</v>
      </c>
    </row>
    <row r="52" spans="1:42" ht="24">
      <c r="A52" s="100" t="s">
        <v>83</v>
      </c>
      <c r="B52" s="92">
        <v>0</v>
      </c>
      <c r="C52" s="92">
        <v>0</v>
      </c>
      <c r="D52" s="92">
        <v>0</v>
      </c>
      <c r="E52" s="92">
        <v>0</v>
      </c>
      <c r="F52" s="92">
        <v>0</v>
      </c>
      <c r="G52" s="92">
        <v>0</v>
      </c>
      <c r="H52" s="92">
        <v>0</v>
      </c>
      <c r="I52" s="92">
        <v>0</v>
      </c>
      <c r="J52" s="92">
        <v>0</v>
      </c>
      <c r="K52" s="92">
        <v>0</v>
      </c>
      <c r="L52" s="92">
        <v>0</v>
      </c>
      <c r="M52" s="92">
        <v>0</v>
      </c>
      <c r="N52" s="92">
        <v>0</v>
      </c>
      <c r="O52" s="92">
        <v>0</v>
      </c>
      <c r="P52" s="92">
        <v>0</v>
      </c>
      <c r="Q52" s="92">
        <v>0</v>
      </c>
      <c r="R52" s="92">
        <v>5.470649693162544E-3</v>
      </c>
      <c r="S52" s="92">
        <v>0</v>
      </c>
      <c r="T52" s="92">
        <v>3.535855254516572E-3</v>
      </c>
      <c r="U52" s="92">
        <v>3.0318542943297134E-3</v>
      </c>
      <c r="V52" s="92">
        <v>2.7284030732486588E-3</v>
      </c>
      <c r="W52" s="92">
        <v>4.1693819535974647E-3</v>
      </c>
      <c r="X52" s="92">
        <v>9.3933814949673199E-3</v>
      </c>
      <c r="Y52" s="92">
        <v>6.0827444921694972E-3</v>
      </c>
      <c r="Z52" s="92">
        <v>8.7734088321602711E-3</v>
      </c>
      <c r="AA52" s="92">
        <v>7.4428631145453143E-3</v>
      </c>
      <c r="AB52" s="92">
        <v>7.0151323342621114E-3</v>
      </c>
      <c r="AC52" s="92">
        <v>7.8070563757385632E-3</v>
      </c>
      <c r="AD52" s="92">
        <v>6.5875268323690728E-3</v>
      </c>
      <c r="AE52" s="92">
        <v>2.3061686210744127E-6</v>
      </c>
      <c r="AF52" s="92">
        <v>2.2225371956420186E-6</v>
      </c>
      <c r="AG52" s="92">
        <v>8.4923115989543174E-4</v>
      </c>
      <c r="AH52" s="92">
        <v>8.4923115989543174E-4</v>
      </c>
      <c r="AI52" s="338">
        <v>2.222537195642019E-6</v>
      </c>
      <c r="AJ52" s="338">
        <f>AI52+(AK52-AI52)/2</f>
        <v>2.222537195642019E-6</v>
      </c>
      <c r="AK52" s="338">
        <v>2.222537195642019E-6</v>
      </c>
      <c r="AL52" s="338">
        <f>AK52+(AN52-AK52)/3</f>
        <v>2.222537195642019E-6</v>
      </c>
      <c r="AM52" s="338">
        <f>AK52+(AN52-AK52)*2/3</f>
        <v>2.222537195642019E-6</v>
      </c>
      <c r="AN52" s="338">
        <v>2.222537195642019E-6</v>
      </c>
      <c r="AO52" s="338">
        <f>AN52+(AP52-AN52)/2</f>
        <v>2.222537195642019E-6</v>
      </c>
      <c r="AP52" s="338">
        <v>2.222537195642019E-6</v>
      </c>
    </row>
    <row r="53" spans="1:42" ht="48">
      <c r="A53" s="100" t="s">
        <v>84</v>
      </c>
      <c r="B53" s="92">
        <v>142.61564594339387</v>
      </c>
      <c r="C53" s="92">
        <v>142.87489362452894</v>
      </c>
      <c r="D53" s="92">
        <v>144.68759112730629</v>
      </c>
      <c r="E53" s="92">
        <v>144.99609814476668</v>
      </c>
      <c r="F53" s="92">
        <v>144.85313916360269</v>
      </c>
      <c r="G53" s="92">
        <v>141.49250729970504</v>
      </c>
      <c r="H53" s="92">
        <v>137.87269365756654</v>
      </c>
      <c r="I53" s="92">
        <v>128.59312022730475</v>
      </c>
      <c r="J53" s="92">
        <v>120.55311913464976</v>
      </c>
      <c r="K53" s="92">
        <v>113.83244915960201</v>
      </c>
      <c r="L53" s="92">
        <v>118.65997798681028</v>
      </c>
      <c r="M53" s="92">
        <v>110.04406812343147</v>
      </c>
      <c r="N53" s="92">
        <v>103.44497599665685</v>
      </c>
      <c r="O53" s="92">
        <v>104.12284432660884</v>
      </c>
      <c r="P53" s="92">
        <v>102.47015595236842</v>
      </c>
      <c r="Q53" s="92">
        <v>104.05585188281333</v>
      </c>
      <c r="R53" s="92">
        <v>100.07045893142092</v>
      </c>
      <c r="S53" s="92">
        <v>89.339991819243167</v>
      </c>
      <c r="T53" s="92">
        <v>83.407267904820955</v>
      </c>
      <c r="U53" s="92">
        <v>79.709298222894688</v>
      </c>
      <c r="V53" s="92">
        <v>100.17163636757014</v>
      </c>
      <c r="W53" s="92">
        <v>91.563694379329633</v>
      </c>
      <c r="X53" s="92">
        <v>96.715039222050493</v>
      </c>
      <c r="Y53" s="92">
        <v>69.908568457688958</v>
      </c>
      <c r="Z53" s="92">
        <v>76.591199159096675</v>
      </c>
      <c r="AA53" s="92">
        <v>87.533423983822999</v>
      </c>
      <c r="AB53" s="92">
        <v>67.757647051130107</v>
      </c>
      <c r="AC53" s="92">
        <v>65.180409593033218</v>
      </c>
      <c r="AD53" s="92">
        <v>62.523665924352763</v>
      </c>
      <c r="AE53" s="92">
        <v>89.363348031835997</v>
      </c>
      <c r="AF53" s="92">
        <v>91.043621830109316</v>
      </c>
      <c r="AG53" s="92">
        <v>91.497063075953392</v>
      </c>
      <c r="AH53" s="92">
        <v>91.398581305572918</v>
      </c>
      <c r="AI53" s="338">
        <v>90.023366814317328</v>
      </c>
      <c r="AJ53" s="338">
        <f t="shared" ref="AJ53:AJ55" si="14">AI53+(AK53-AI53)/2</f>
        <v>90.156277116656454</v>
      </c>
      <c r="AK53" s="338">
        <v>90.289187418995581</v>
      </c>
      <c r="AL53" s="338">
        <f t="shared" ref="AL53:AL55" si="15">AK53+(AN53-AK53)/3</f>
        <v>90.469254280296241</v>
      </c>
      <c r="AM53" s="338">
        <f t="shared" ref="AM53:AM55" si="16">AK53+(AN53-AK53)*2/3</f>
        <v>90.649321141596886</v>
      </c>
      <c r="AN53" s="338">
        <v>90.829388002897545</v>
      </c>
      <c r="AO53" s="338">
        <f t="shared" ref="AO53:AO55" si="17">AN53+(AP53-AN53)/2</f>
        <v>91.088458890202105</v>
      </c>
      <c r="AP53" s="338">
        <v>91.347529777506665</v>
      </c>
    </row>
    <row r="54" spans="1:42" ht="36">
      <c r="A54" s="100" t="s">
        <v>85</v>
      </c>
      <c r="B54" s="92">
        <v>30.09311652991229</v>
      </c>
      <c r="C54" s="92">
        <v>30.85434519920986</v>
      </c>
      <c r="D54" s="92">
        <v>31.634839961051913</v>
      </c>
      <c r="E54" s="92">
        <v>32.435088424926747</v>
      </c>
      <c r="F54" s="92">
        <v>36.305183452855111</v>
      </c>
      <c r="G54" s="92">
        <v>40.114873974298852</v>
      </c>
      <c r="H54" s="92">
        <v>42.63706261177785</v>
      </c>
      <c r="I54" s="92">
        <v>39.868537254985917</v>
      </c>
      <c r="J54" s="92">
        <v>44.777020544069174</v>
      </c>
      <c r="K54" s="92">
        <v>59.532239129192469</v>
      </c>
      <c r="L54" s="92">
        <v>64.527638423910133</v>
      </c>
      <c r="M54" s="92">
        <v>66.908789382845526</v>
      </c>
      <c r="N54" s="92">
        <v>69.21021188046619</v>
      </c>
      <c r="O54" s="92">
        <v>73.595794279310923</v>
      </c>
      <c r="P54" s="92">
        <v>77.734937616936179</v>
      </c>
      <c r="Q54" s="92">
        <v>81.127812747505658</v>
      </c>
      <c r="R54" s="92">
        <v>85.077765966725622</v>
      </c>
      <c r="S54" s="92">
        <v>86.080138725032072</v>
      </c>
      <c r="T54" s="92">
        <v>87.301341324431604</v>
      </c>
      <c r="U54" s="92">
        <v>90.739173511858354</v>
      </c>
      <c r="V54" s="92">
        <v>95.298435058252224</v>
      </c>
      <c r="W54" s="92">
        <v>113.05201937634546</v>
      </c>
      <c r="X54" s="92">
        <v>130.71261178199521</v>
      </c>
      <c r="Y54" s="92">
        <v>135.19115186655455</v>
      </c>
      <c r="Z54" s="92">
        <v>139.63452182750825</v>
      </c>
      <c r="AA54" s="92">
        <v>142.68908888629122</v>
      </c>
      <c r="AB54" s="92">
        <v>145.78354582875301</v>
      </c>
      <c r="AC54" s="92">
        <v>151.0958453057948</v>
      </c>
      <c r="AD54" s="92">
        <v>156.40364300489711</v>
      </c>
      <c r="AE54" s="92">
        <v>154.37767490184385</v>
      </c>
      <c r="AF54" s="92">
        <v>152.09042785210431</v>
      </c>
      <c r="AG54" s="92">
        <v>163.70514703894617</v>
      </c>
      <c r="AH54" s="92">
        <v>163.70514703894617</v>
      </c>
      <c r="AI54" s="338">
        <v>153.44874627934948</v>
      </c>
      <c r="AJ54" s="338">
        <f t="shared" si="14"/>
        <v>155.61833943731955</v>
      </c>
      <c r="AK54" s="338">
        <v>157.78793259528965</v>
      </c>
      <c r="AL54" s="338">
        <f t="shared" si="15"/>
        <v>159.50696141809883</v>
      </c>
      <c r="AM54" s="338">
        <f t="shared" si="16"/>
        <v>161.225990240908</v>
      </c>
      <c r="AN54" s="338">
        <v>162.94501906371718</v>
      </c>
      <c r="AO54" s="338">
        <f t="shared" si="17"/>
        <v>163.21522820109607</v>
      </c>
      <c r="AP54" s="338">
        <v>163.48543733847498</v>
      </c>
    </row>
    <row r="55" spans="1:42" ht="24">
      <c r="A55" s="100" t="s">
        <v>86</v>
      </c>
      <c r="B55" s="92">
        <v>357.22785778370968</v>
      </c>
      <c r="C55" s="92">
        <v>365.55084256869435</v>
      </c>
      <c r="D55" s="92">
        <v>357.18953269271537</v>
      </c>
      <c r="E55" s="92">
        <v>353.60309559036028</v>
      </c>
      <c r="F55" s="92">
        <v>349.88532623852183</v>
      </c>
      <c r="G55" s="92">
        <v>352.90311468468383</v>
      </c>
      <c r="H55" s="92">
        <v>342.87016206180959</v>
      </c>
      <c r="I55" s="92">
        <v>330.97477264969393</v>
      </c>
      <c r="J55" s="92">
        <v>317.24608889358552</v>
      </c>
      <c r="K55" s="92">
        <v>305.85985941238118</v>
      </c>
      <c r="L55" s="92">
        <v>304.79132942475223</v>
      </c>
      <c r="M55" s="92">
        <v>291.63669822229912</v>
      </c>
      <c r="N55" s="92">
        <v>276.14262749329686</v>
      </c>
      <c r="O55" s="92">
        <v>260.73006857157759</v>
      </c>
      <c r="P55" s="92">
        <v>245.02093947215999</v>
      </c>
      <c r="Q55" s="92">
        <v>230.14353946063434</v>
      </c>
      <c r="R55" s="92">
        <v>225.80061026489727</v>
      </c>
      <c r="S55" s="92">
        <v>192.68562589560477</v>
      </c>
      <c r="T55" s="92">
        <v>197.16705829760539</v>
      </c>
      <c r="U55" s="92">
        <v>204.55094728747079</v>
      </c>
      <c r="V55" s="92">
        <v>209.27007457364002</v>
      </c>
      <c r="W55" s="92">
        <v>208.70521977992098</v>
      </c>
      <c r="X55" s="92">
        <v>203.62039287939731</v>
      </c>
      <c r="Y55" s="92">
        <v>197.92778095992722</v>
      </c>
      <c r="Z55" s="92">
        <v>199.87511827187558</v>
      </c>
      <c r="AA55" s="92">
        <v>196.50850958599568</v>
      </c>
      <c r="AB55" s="92">
        <v>193.61528814549027</v>
      </c>
      <c r="AC55" s="92">
        <v>196.17493143004293</v>
      </c>
      <c r="AD55" s="92">
        <v>194.85087877189605</v>
      </c>
      <c r="AE55" s="92">
        <v>196.05032833345834</v>
      </c>
      <c r="AF55" s="92">
        <v>196.6076833759852</v>
      </c>
      <c r="AG55" s="92">
        <v>196.19799387798054</v>
      </c>
      <c r="AH55" s="92">
        <v>196.19799387798054</v>
      </c>
      <c r="AI55" s="338">
        <v>195.98443304972423</v>
      </c>
      <c r="AJ55" s="338">
        <f t="shared" si="14"/>
        <v>195.77143963934915</v>
      </c>
      <c r="AK55" s="338">
        <v>195.55844622897408</v>
      </c>
      <c r="AL55" s="338">
        <f t="shared" si="15"/>
        <v>195.2698252940738</v>
      </c>
      <c r="AM55" s="338">
        <f t="shared" si="16"/>
        <v>194.98120435917352</v>
      </c>
      <c r="AN55" s="338">
        <v>194.69258342427324</v>
      </c>
      <c r="AO55" s="338">
        <f t="shared" si="17"/>
        <v>194.59481166382636</v>
      </c>
      <c r="AP55" s="338">
        <v>194.49703990337946</v>
      </c>
    </row>
    <row r="56" spans="1:42">
      <c r="A56" s="106" t="s">
        <v>418</v>
      </c>
      <c r="B56" s="107">
        <v>529.93662025701587</v>
      </c>
      <c r="C56" s="107">
        <v>539.2800813924332</v>
      </c>
      <c r="D56" s="107">
        <v>533.51196378107352</v>
      </c>
      <c r="E56" s="107">
        <v>531.03428216005364</v>
      </c>
      <c r="F56" s="107">
        <v>531.04364885497966</v>
      </c>
      <c r="G56" s="107">
        <v>534.51049595868767</v>
      </c>
      <c r="H56" s="107">
        <v>523.37991833115393</v>
      </c>
      <c r="I56" s="107">
        <v>499.43643013198459</v>
      </c>
      <c r="J56" s="107">
        <v>482.57622857230444</v>
      </c>
      <c r="K56" s="107">
        <v>479.22454770117565</v>
      </c>
      <c r="L56" s="107">
        <v>487.97894583547264</v>
      </c>
      <c r="M56" s="107">
        <v>468.5895557285761</v>
      </c>
      <c r="N56" s="107">
        <v>448.79781537041993</v>
      </c>
      <c r="O56" s="107">
        <v>438.44870717749734</v>
      </c>
      <c r="P56" s="107">
        <v>425.22603304146458</v>
      </c>
      <c r="Q56" s="107">
        <v>415.32720409095333</v>
      </c>
      <c r="R56" s="107">
        <v>410.95430581273695</v>
      </c>
      <c r="S56" s="107">
        <v>368.10575643988</v>
      </c>
      <c r="T56" s="107">
        <v>367.87920338211245</v>
      </c>
      <c r="U56" s="107">
        <v>375.0024508765182</v>
      </c>
      <c r="V56" s="107">
        <v>404.74287440253568</v>
      </c>
      <c r="W56" s="107">
        <v>413.32510291754966</v>
      </c>
      <c r="X56" s="107">
        <v>431.05743726493802</v>
      </c>
      <c r="Y56" s="107">
        <v>403.03358402866286</v>
      </c>
      <c r="Z56" s="107">
        <v>416.10961266731266</v>
      </c>
      <c r="AA56" s="107">
        <v>426.73846531922447</v>
      </c>
      <c r="AB56" s="107">
        <v>407.16349615770764</v>
      </c>
      <c r="AC56" s="107">
        <v>412.45899338524669</v>
      </c>
      <c r="AD56" s="107">
        <v>413.78477522797829</v>
      </c>
      <c r="AE56" s="107">
        <v>439.79135357330676</v>
      </c>
      <c r="AF56" s="107">
        <v>439.74173528073607</v>
      </c>
      <c r="AG56" s="107">
        <v>451.40105322403997</v>
      </c>
      <c r="AH56" s="107">
        <v>451.30257145365954</v>
      </c>
      <c r="AI56" s="149">
        <v>439.4565483659282</v>
      </c>
      <c r="AJ56" s="149">
        <f>SUM(AJ52:AJ55)</f>
        <v>441.54605841586238</v>
      </c>
      <c r="AK56" s="149">
        <v>443.63556846579655</v>
      </c>
      <c r="AL56" s="149">
        <f t="shared" ref="AL56:AO56" si="18">SUM(AL52:AL55)</f>
        <v>445.24604321500601</v>
      </c>
      <c r="AM56" s="149">
        <f t="shared" si="18"/>
        <v>446.85651796421564</v>
      </c>
      <c r="AN56" s="149">
        <v>448.46699271342516</v>
      </c>
      <c r="AO56" s="149">
        <f t="shared" si="18"/>
        <v>448.89850097766174</v>
      </c>
      <c r="AP56" s="149">
        <v>449.33000924189832</v>
      </c>
    </row>
    <row r="57" spans="1:42" ht="15">
      <c r="A57" s="95"/>
      <c r="B57" s="96"/>
      <c r="C57" s="96"/>
      <c r="D57" s="96"/>
      <c r="E57" s="96"/>
      <c r="F57" s="96"/>
      <c r="G57" s="96"/>
      <c r="H57" s="96"/>
      <c r="I57" s="96"/>
      <c r="J57" s="96"/>
      <c r="K57" s="70"/>
      <c r="L57" s="70"/>
      <c r="M57" s="70"/>
      <c r="N57" s="70"/>
      <c r="O57" s="70"/>
      <c r="P57" s="70"/>
      <c r="Q57" s="70"/>
      <c r="R57" s="70"/>
      <c r="S57" s="70"/>
      <c r="T57" s="70"/>
      <c r="U57" s="70"/>
      <c r="V57" s="70"/>
      <c r="W57" s="70"/>
      <c r="X57" s="70"/>
      <c r="Y57" s="70"/>
      <c r="Z57" s="70"/>
      <c r="AA57" s="70"/>
      <c r="AB57" s="70"/>
      <c r="AC57" s="70"/>
      <c r="AD57" s="70"/>
      <c r="AE57" s="70"/>
      <c r="AF57" s="70"/>
      <c r="AG57" s="70"/>
      <c r="AH57" s="70"/>
    </row>
    <row r="58" spans="1:42">
      <c r="A58" s="108" t="s">
        <v>399</v>
      </c>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429" t="s">
        <v>393</v>
      </c>
      <c r="AJ58" s="429"/>
      <c r="AK58" s="429"/>
      <c r="AL58" s="429"/>
      <c r="AM58" s="429"/>
      <c r="AN58" s="429"/>
      <c r="AO58" s="429"/>
      <c r="AP58" s="429"/>
    </row>
    <row r="59" spans="1:42" ht="105.6">
      <c r="A59" s="75" t="s">
        <v>483</v>
      </c>
      <c r="B59" s="76">
        <v>1990</v>
      </c>
      <c r="C59" s="76">
        <v>1991</v>
      </c>
      <c r="D59" s="76">
        <v>1992</v>
      </c>
      <c r="E59" s="76">
        <v>1993</v>
      </c>
      <c r="F59" s="76">
        <v>1994</v>
      </c>
      <c r="G59" s="76">
        <v>1995</v>
      </c>
      <c r="H59" s="76">
        <v>1996</v>
      </c>
      <c r="I59" s="76">
        <v>1997</v>
      </c>
      <c r="J59" s="76">
        <v>1998</v>
      </c>
      <c r="K59" s="76">
        <v>1999</v>
      </c>
      <c r="L59" s="76">
        <v>2000</v>
      </c>
      <c r="M59" s="76">
        <v>2001</v>
      </c>
      <c r="N59" s="76">
        <v>2002</v>
      </c>
      <c r="O59" s="76">
        <v>2003</v>
      </c>
      <c r="P59" s="76">
        <v>2004</v>
      </c>
      <c r="Q59" s="76">
        <v>2005</v>
      </c>
      <c r="R59" s="76">
        <v>2006</v>
      </c>
      <c r="S59" s="76">
        <v>2007</v>
      </c>
      <c r="T59" s="76">
        <v>2008</v>
      </c>
      <c r="U59" s="76">
        <v>2009</v>
      </c>
      <c r="V59" s="76">
        <v>2010</v>
      </c>
      <c r="W59" s="76">
        <v>2011</v>
      </c>
      <c r="X59" s="76">
        <v>2012</v>
      </c>
      <c r="Y59" s="76">
        <v>2013</v>
      </c>
      <c r="Z59" s="76">
        <v>2014</v>
      </c>
      <c r="AA59" s="76">
        <v>2015</v>
      </c>
      <c r="AB59" s="76">
        <v>2016</v>
      </c>
      <c r="AC59" s="76">
        <v>2017</v>
      </c>
      <c r="AD59" s="76">
        <v>2018</v>
      </c>
      <c r="AE59" s="76">
        <v>2019</v>
      </c>
      <c r="AF59" s="76">
        <v>2020</v>
      </c>
      <c r="AG59" s="77">
        <v>2021</v>
      </c>
      <c r="AH59" s="77" t="s">
        <v>395</v>
      </c>
      <c r="AI59" s="76">
        <v>2023</v>
      </c>
      <c r="AJ59" s="152">
        <v>2024</v>
      </c>
      <c r="AK59" s="76">
        <v>2025</v>
      </c>
      <c r="AL59" s="152">
        <v>2026</v>
      </c>
      <c r="AM59" s="152">
        <v>2027</v>
      </c>
      <c r="AN59" s="76">
        <v>2028</v>
      </c>
      <c r="AO59" s="152">
        <v>2029</v>
      </c>
      <c r="AP59" s="76">
        <v>2030</v>
      </c>
    </row>
    <row r="60" spans="1:42" ht="60">
      <c r="A60" s="91" t="s">
        <v>214</v>
      </c>
      <c r="B60" s="92">
        <v>437.12831513522212</v>
      </c>
      <c r="C60" s="92">
        <v>511.3439483105019</v>
      </c>
      <c r="D60" s="92">
        <v>491.85607059282</v>
      </c>
      <c r="E60" s="92">
        <v>472.87128093742723</v>
      </c>
      <c r="F60" s="92">
        <v>412.59795768339035</v>
      </c>
      <c r="G60" s="92">
        <v>417.83845396006274</v>
      </c>
      <c r="H60" s="92">
        <v>456.46314010115992</v>
      </c>
      <c r="I60" s="92">
        <v>403.56460313288954</v>
      </c>
      <c r="J60" s="92">
        <v>408.73114479737887</v>
      </c>
      <c r="K60" s="92">
        <v>389.67226272159002</v>
      </c>
      <c r="L60" s="92">
        <v>366.84099434226982</v>
      </c>
      <c r="M60" s="92">
        <v>380.48393521179804</v>
      </c>
      <c r="N60" s="92">
        <v>350.79464717221697</v>
      </c>
      <c r="O60" s="92">
        <v>374.91540972320325</v>
      </c>
      <c r="P60" s="92">
        <v>377.88517090337945</v>
      </c>
      <c r="Q60" s="92">
        <v>369.63477245272458</v>
      </c>
      <c r="R60" s="92">
        <v>341.43599300080649</v>
      </c>
      <c r="S60" s="92">
        <v>319.41527658426912</v>
      </c>
      <c r="T60" s="92">
        <v>344.33984305570164</v>
      </c>
      <c r="U60" s="92">
        <v>351.87275177030511</v>
      </c>
      <c r="V60" s="92">
        <v>385.02175994482042</v>
      </c>
      <c r="W60" s="92">
        <v>314.58453459949044</v>
      </c>
      <c r="X60" s="92">
        <v>360.20805697010815</v>
      </c>
      <c r="Y60" s="92">
        <v>390.71384419540192</v>
      </c>
      <c r="Z60" s="92">
        <v>316.63723436377779</v>
      </c>
      <c r="AA60" s="92">
        <v>332.92840205246733</v>
      </c>
      <c r="AB60" s="92">
        <v>351.18256692696087</v>
      </c>
      <c r="AC60" s="92">
        <v>338.49750902987773</v>
      </c>
      <c r="AD60" s="92">
        <v>324.80773656447252</v>
      </c>
      <c r="AE60" s="92">
        <v>325.5864171247743</v>
      </c>
      <c r="AF60" s="92">
        <v>301.08785245987696</v>
      </c>
      <c r="AG60" s="92">
        <v>340.1002948913204</v>
      </c>
      <c r="AH60" s="92">
        <v>287.68264448828654</v>
      </c>
      <c r="AI60" s="338">
        <v>317.32212636791633</v>
      </c>
      <c r="AJ60" s="338">
        <f>AI60+(AK60-AI60)/2</f>
        <v>304.3448243042518</v>
      </c>
      <c r="AK60" s="338">
        <v>291.36752224058722</v>
      </c>
      <c r="AL60" s="338">
        <f>AK60+(AN60-AK60)/3</f>
        <v>278.85269613207413</v>
      </c>
      <c r="AM60" s="338">
        <f>AK60+(AN60-AK60)*2/3</f>
        <v>266.33787002356104</v>
      </c>
      <c r="AN60" s="338">
        <v>253.82304391504792</v>
      </c>
      <c r="AO60" s="338">
        <f>AN60+(AP60-AN60)/2</f>
        <v>241.30821780653486</v>
      </c>
      <c r="AP60" s="338">
        <v>228.79339169802176</v>
      </c>
    </row>
    <row r="61" spans="1:42" ht="24">
      <c r="A61" s="91" t="s">
        <v>215</v>
      </c>
      <c r="B61" s="92">
        <v>0</v>
      </c>
      <c r="C61" s="92">
        <v>0</v>
      </c>
      <c r="D61" s="92">
        <v>0</v>
      </c>
      <c r="E61" s="92">
        <v>0</v>
      </c>
      <c r="F61" s="92">
        <v>0</v>
      </c>
      <c r="G61" s="92">
        <v>0</v>
      </c>
      <c r="H61" s="92">
        <v>0</v>
      </c>
      <c r="I61" s="92">
        <v>0</v>
      </c>
      <c r="J61" s="92">
        <v>0</v>
      </c>
      <c r="K61" s="92">
        <v>0</v>
      </c>
      <c r="L61" s="92">
        <v>0</v>
      </c>
      <c r="M61" s="92">
        <v>0</v>
      </c>
      <c r="N61" s="92">
        <v>0</v>
      </c>
      <c r="O61" s="92">
        <v>0</v>
      </c>
      <c r="P61" s="92">
        <v>0</v>
      </c>
      <c r="Q61" s="92">
        <v>0</v>
      </c>
      <c r="R61" s="92">
        <v>0</v>
      </c>
      <c r="S61" s="92">
        <v>0</v>
      </c>
      <c r="T61" s="92">
        <v>0</v>
      </c>
      <c r="U61" s="92">
        <v>0</v>
      </c>
      <c r="V61" s="92">
        <v>0</v>
      </c>
      <c r="W61" s="92">
        <v>0</v>
      </c>
      <c r="X61" s="92">
        <v>0</v>
      </c>
      <c r="Y61" s="92">
        <v>0</v>
      </c>
      <c r="Z61" s="92">
        <v>0</v>
      </c>
      <c r="AA61" s="92">
        <v>0</v>
      </c>
      <c r="AB61" s="92">
        <v>0</v>
      </c>
      <c r="AC61" s="92">
        <v>0</v>
      </c>
      <c r="AD61" s="92">
        <v>0</v>
      </c>
      <c r="AE61" s="92">
        <v>0</v>
      </c>
      <c r="AF61" s="92">
        <v>0</v>
      </c>
      <c r="AG61" s="92">
        <v>0</v>
      </c>
      <c r="AH61" s="92">
        <v>0</v>
      </c>
      <c r="AI61" s="338">
        <v>0</v>
      </c>
      <c r="AJ61" s="338">
        <f t="shared" ref="AJ61:AJ66" si="19">AI61+(AK61-AI61)/2</f>
        <v>0</v>
      </c>
      <c r="AK61" s="338">
        <v>0</v>
      </c>
      <c r="AL61" s="338">
        <f t="shared" ref="AL61:AL72" si="20">AK61+(AN61-AK61)/3</f>
        <v>0</v>
      </c>
      <c r="AM61" s="338">
        <f t="shared" ref="AM61:AM72" si="21">AK61+(AN61-AK61)*2/3</f>
        <v>0</v>
      </c>
      <c r="AN61" s="338">
        <v>0</v>
      </c>
      <c r="AO61" s="338">
        <f t="shared" ref="AO61:AO66" si="22">AN61+(AP61-AN61)/2</f>
        <v>0</v>
      </c>
      <c r="AP61" s="338">
        <v>0</v>
      </c>
    </row>
    <row r="62" spans="1:42" ht="24">
      <c r="A62" s="91" t="s">
        <v>419</v>
      </c>
      <c r="B62" s="92">
        <v>0</v>
      </c>
      <c r="C62" s="92">
        <v>0</v>
      </c>
      <c r="D62" s="92">
        <v>0</v>
      </c>
      <c r="E62" s="92">
        <v>0</v>
      </c>
      <c r="F62" s="92">
        <v>0</v>
      </c>
      <c r="G62" s="92">
        <v>0</v>
      </c>
      <c r="H62" s="92">
        <v>0</v>
      </c>
      <c r="I62" s="92">
        <v>0</v>
      </c>
      <c r="J62" s="92">
        <v>0</v>
      </c>
      <c r="K62" s="92">
        <v>0</v>
      </c>
      <c r="L62" s="92">
        <v>0</v>
      </c>
      <c r="M62" s="92">
        <v>0</v>
      </c>
      <c r="N62" s="92">
        <v>0</v>
      </c>
      <c r="O62" s="92">
        <v>0</v>
      </c>
      <c r="P62" s="92">
        <v>0</v>
      </c>
      <c r="Q62" s="92">
        <v>0</v>
      </c>
      <c r="R62" s="92">
        <v>0</v>
      </c>
      <c r="S62" s="92">
        <v>0</v>
      </c>
      <c r="T62" s="92">
        <v>0</v>
      </c>
      <c r="U62" s="92">
        <v>0</v>
      </c>
      <c r="V62" s="92">
        <v>0</v>
      </c>
      <c r="W62" s="92">
        <v>0</v>
      </c>
      <c r="X62" s="92">
        <v>0</v>
      </c>
      <c r="Y62" s="92">
        <v>0</v>
      </c>
      <c r="Z62" s="92">
        <v>0</v>
      </c>
      <c r="AA62" s="92">
        <v>0</v>
      </c>
      <c r="AB62" s="92">
        <v>0</v>
      </c>
      <c r="AC62" s="92">
        <v>0</v>
      </c>
      <c r="AD62" s="92">
        <v>0</v>
      </c>
      <c r="AE62" s="92">
        <v>0</v>
      </c>
      <c r="AF62" s="92">
        <v>0</v>
      </c>
      <c r="AG62" s="92">
        <v>0</v>
      </c>
      <c r="AH62" s="92">
        <v>0</v>
      </c>
      <c r="AI62" s="338">
        <v>0</v>
      </c>
      <c r="AJ62" s="338">
        <f t="shared" si="19"/>
        <v>0</v>
      </c>
      <c r="AK62" s="338">
        <v>0</v>
      </c>
      <c r="AL62" s="338">
        <f t="shared" si="20"/>
        <v>0</v>
      </c>
      <c r="AM62" s="338">
        <f t="shared" si="21"/>
        <v>0</v>
      </c>
      <c r="AN62" s="338">
        <v>0</v>
      </c>
      <c r="AO62" s="338">
        <f t="shared" si="22"/>
        <v>0</v>
      </c>
      <c r="AP62" s="338">
        <v>0</v>
      </c>
    </row>
    <row r="63" spans="1:42" ht="60">
      <c r="A63" s="91" t="s">
        <v>216</v>
      </c>
      <c r="B63" s="92">
        <v>20.577579203828378</v>
      </c>
      <c r="C63" s="92">
        <v>20.58338965320932</v>
      </c>
      <c r="D63" s="92">
        <v>20.590186882538248</v>
      </c>
      <c r="E63" s="92">
        <v>20.597707334974295</v>
      </c>
      <c r="F63" s="92">
        <v>20.605664997366155</v>
      </c>
      <c r="G63" s="92">
        <v>20.614008893059385</v>
      </c>
      <c r="H63" s="92">
        <v>20.622613939227506</v>
      </c>
      <c r="I63" s="92">
        <v>20.631293864836774</v>
      </c>
      <c r="J63" s="92">
        <v>20.639868471617199</v>
      </c>
      <c r="K63" s="92">
        <v>20.647704257138145</v>
      </c>
      <c r="L63" s="92">
        <v>20.654066538868893</v>
      </c>
      <c r="M63" s="92">
        <v>20.660462756763323</v>
      </c>
      <c r="N63" s="92">
        <v>20.666544640969786</v>
      </c>
      <c r="O63" s="92">
        <v>20.671838263595628</v>
      </c>
      <c r="P63" s="92">
        <v>20.677040743987416</v>
      </c>
      <c r="Q63" s="92">
        <v>20.68146012332981</v>
      </c>
      <c r="R63" s="92">
        <v>20.685366841737917</v>
      </c>
      <c r="S63" s="92">
        <v>20.689618910571731</v>
      </c>
      <c r="T63" s="92">
        <v>20.694874615010065</v>
      </c>
      <c r="U63" s="92">
        <v>20.697029160837939</v>
      </c>
      <c r="V63" s="92">
        <v>20.698421415895211</v>
      </c>
      <c r="W63" s="92">
        <v>20.700761718989106</v>
      </c>
      <c r="X63" s="92">
        <v>20.700708933820177</v>
      </c>
      <c r="Y63" s="92">
        <v>20.700069410374706</v>
      </c>
      <c r="Z63" s="92">
        <v>20.701822480506706</v>
      </c>
      <c r="AA63" s="92">
        <v>20.713128342778134</v>
      </c>
      <c r="AB63" s="92">
        <v>20.707324213511104</v>
      </c>
      <c r="AC63" s="92">
        <v>20.705708349772408</v>
      </c>
      <c r="AD63" s="92">
        <v>20.706889998204257</v>
      </c>
      <c r="AE63" s="92">
        <v>20.70815639769053</v>
      </c>
      <c r="AF63" s="92">
        <v>20.709069615357063</v>
      </c>
      <c r="AG63" s="92">
        <v>20.709936247569214</v>
      </c>
      <c r="AH63" s="92">
        <v>20.709936247569214</v>
      </c>
      <c r="AI63" s="338">
        <v>20.706469949758699</v>
      </c>
      <c r="AJ63" s="338">
        <f t="shared" si="19"/>
        <v>20.707613332332699</v>
      </c>
      <c r="AK63" s="338">
        <v>20.708756714906695</v>
      </c>
      <c r="AL63" s="338">
        <f t="shared" si="20"/>
        <v>20.709923664585471</v>
      </c>
      <c r="AM63" s="338">
        <f t="shared" si="21"/>
        <v>20.711090614264247</v>
      </c>
      <c r="AN63" s="338">
        <v>20.712257563943023</v>
      </c>
      <c r="AO63" s="338">
        <f t="shared" si="22"/>
        <v>20.713509078729047</v>
      </c>
      <c r="AP63" s="338">
        <v>20.714760593515074</v>
      </c>
    </row>
    <row r="64" spans="1:42" ht="36">
      <c r="A64" s="91" t="s">
        <v>420</v>
      </c>
      <c r="B64" s="92">
        <v>3.2801307863416405</v>
      </c>
      <c r="C64" s="92">
        <v>3.2801307863416405</v>
      </c>
      <c r="D64" s="92">
        <v>3.2801307863416405</v>
      </c>
      <c r="E64" s="92">
        <v>3.2801307863416405</v>
      </c>
      <c r="F64" s="92">
        <v>3.28013078634164</v>
      </c>
      <c r="G64" s="92">
        <v>3.2801307863416409</v>
      </c>
      <c r="H64" s="92">
        <v>3.2801307863416405</v>
      </c>
      <c r="I64" s="92">
        <v>3.2801307863416409</v>
      </c>
      <c r="J64" s="92">
        <v>3.2801307863416405</v>
      </c>
      <c r="K64" s="92">
        <v>3.2801307863416409</v>
      </c>
      <c r="L64" s="92">
        <v>3.2801307863416409</v>
      </c>
      <c r="M64" s="92">
        <v>3.2801307863416405</v>
      </c>
      <c r="N64" s="92">
        <v>3.28013078634164</v>
      </c>
      <c r="O64" s="92">
        <v>3.2801307863416409</v>
      </c>
      <c r="P64" s="92">
        <v>3.2801307863416405</v>
      </c>
      <c r="Q64" s="92">
        <v>3.2801307863416405</v>
      </c>
      <c r="R64" s="92">
        <v>3.2801307863416409</v>
      </c>
      <c r="S64" s="92">
        <v>3.2801307863416405</v>
      </c>
      <c r="T64" s="92">
        <v>3.2801307863416405</v>
      </c>
      <c r="U64" s="92">
        <v>3.2801307863416405</v>
      </c>
      <c r="V64" s="92">
        <v>3.2801307863416409</v>
      </c>
      <c r="W64" s="92">
        <v>3.28013078634164</v>
      </c>
      <c r="X64" s="92">
        <v>3.2801307863416405</v>
      </c>
      <c r="Y64" s="92">
        <v>3.2801307863416409</v>
      </c>
      <c r="Z64" s="92">
        <v>3.2801307863416413</v>
      </c>
      <c r="AA64" s="92">
        <v>3.2801307863416405</v>
      </c>
      <c r="AB64" s="92">
        <v>3.2801307863416405</v>
      </c>
      <c r="AC64" s="92">
        <v>3.28013078634164</v>
      </c>
      <c r="AD64" s="92">
        <v>3.2801307863416409</v>
      </c>
      <c r="AE64" s="92">
        <v>3.2801307863416405</v>
      </c>
      <c r="AF64" s="92">
        <v>3.2801307863416405</v>
      </c>
      <c r="AG64" s="92">
        <v>3.2801307863416405</v>
      </c>
      <c r="AH64" s="92">
        <v>3.4824867185608746</v>
      </c>
      <c r="AI64" s="338">
        <v>2.3748128813086646</v>
      </c>
      <c r="AJ64" s="338">
        <f t="shared" si="19"/>
        <v>1.9767953668788223</v>
      </c>
      <c r="AK64" s="338">
        <v>1.5787778524489799</v>
      </c>
      <c r="AL64" s="338">
        <f t="shared" si="20"/>
        <v>1.354951568635637</v>
      </c>
      <c r="AM64" s="338">
        <f t="shared" si="21"/>
        <v>1.1311252848222944</v>
      </c>
      <c r="AN64" s="338">
        <v>0.90729900100895144</v>
      </c>
      <c r="AO64" s="338">
        <f t="shared" si="22"/>
        <v>0.68347271719560865</v>
      </c>
      <c r="AP64" s="338">
        <v>0.45964643338226591</v>
      </c>
    </row>
    <row r="65" spans="1:42" ht="48">
      <c r="A65" s="91" t="s">
        <v>421</v>
      </c>
      <c r="B65" s="92">
        <v>167.35583319489606</v>
      </c>
      <c r="C65" s="92">
        <v>174.47734188606131</v>
      </c>
      <c r="D65" s="92">
        <v>174.62174621211315</v>
      </c>
      <c r="E65" s="92">
        <v>176.69010782071123</v>
      </c>
      <c r="F65" s="92">
        <v>178.42068434563404</v>
      </c>
      <c r="G65" s="92">
        <v>184.98498847277554</v>
      </c>
      <c r="H65" s="92">
        <v>188.32961396473897</v>
      </c>
      <c r="I65" s="92">
        <v>192.91462519174181</v>
      </c>
      <c r="J65" s="92">
        <v>198.91633969987001</v>
      </c>
      <c r="K65" s="92">
        <v>191.97746138054472</v>
      </c>
      <c r="L65" s="92">
        <v>184.53614180420962</v>
      </c>
      <c r="M65" s="92">
        <v>177.20425948924537</v>
      </c>
      <c r="N65" s="92">
        <v>173.42623649433708</v>
      </c>
      <c r="O65" s="92">
        <v>169.65699087495545</v>
      </c>
      <c r="P65" s="92">
        <v>165.64105879242391</v>
      </c>
      <c r="Q65" s="92">
        <v>164.48055462978036</v>
      </c>
      <c r="R65" s="92">
        <v>163.2183266902787</v>
      </c>
      <c r="S65" s="92">
        <v>161.55315296165492</v>
      </c>
      <c r="T65" s="92">
        <v>167.07350626247538</v>
      </c>
      <c r="U65" s="92">
        <v>174.38126477868269</v>
      </c>
      <c r="V65" s="92">
        <v>181.71094800186756</v>
      </c>
      <c r="W65" s="92">
        <v>180.59973544217351</v>
      </c>
      <c r="X65" s="92">
        <v>179.50868418290659</v>
      </c>
      <c r="Y65" s="92">
        <v>178.45659933340485</v>
      </c>
      <c r="Z65" s="92">
        <v>178.39950854756174</v>
      </c>
      <c r="AA65" s="92">
        <v>181.09740193387006</v>
      </c>
      <c r="AB65" s="92">
        <v>180.83291442983452</v>
      </c>
      <c r="AC65" s="92">
        <v>182.79654019070205</v>
      </c>
      <c r="AD65" s="92">
        <v>183.28835846711075</v>
      </c>
      <c r="AE65" s="92">
        <v>183.50052832007077</v>
      </c>
      <c r="AF65" s="92">
        <v>185.77542135272665</v>
      </c>
      <c r="AG65" s="92">
        <v>181.28780363364595</v>
      </c>
      <c r="AH65" s="92">
        <v>181.28780363364595</v>
      </c>
      <c r="AI65" s="338">
        <v>186.29890242484328</v>
      </c>
      <c r="AJ65" s="338">
        <f t="shared" si="19"/>
        <v>186.44872704973267</v>
      </c>
      <c r="AK65" s="338">
        <v>186.59855167462209</v>
      </c>
      <c r="AL65" s="338">
        <f t="shared" si="20"/>
        <v>186.27369701573903</v>
      </c>
      <c r="AM65" s="338">
        <f t="shared" si="21"/>
        <v>185.94884235685598</v>
      </c>
      <c r="AN65" s="338">
        <v>185.62398769797292</v>
      </c>
      <c r="AO65" s="338">
        <f t="shared" si="22"/>
        <v>184.92140520226667</v>
      </c>
      <c r="AP65" s="338">
        <v>184.21882270656045</v>
      </c>
    </row>
    <row r="66" spans="1:42" ht="48">
      <c r="A66" s="91" t="s">
        <v>422</v>
      </c>
      <c r="B66" s="92">
        <v>0</v>
      </c>
      <c r="C66" s="92">
        <v>0</v>
      </c>
      <c r="D66" s="92">
        <v>0</v>
      </c>
      <c r="E66" s="92">
        <v>0</v>
      </c>
      <c r="F66" s="92">
        <v>0</v>
      </c>
      <c r="G66" s="92">
        <v>0</v>
      </c>
      <c r="H66" s="92">
        <v>0</v>
      </c>
      <c r="I66" s="92">
        <v>0</v>
      </c>
      <c r="J66" s="92">
        <v>0</v>
      </c>
      <c r="K66" s="92">
        <v>0</v>
      </c>
      <c r="L66" s="92">
        <v>0</v>
      </c>
      <c r="M66" s="92">
        <v>0</v>
      </c>
      <c r="N66" s="92">
        <v>0</v>
      </c>
      <c r="O66" s="92">
        <v>0</v>
      </c>
      <c r="P66" s="92">
        <v>0</v>
      </c>
      <c r="Q66" s="92">
        <v>0</v>
      </c>
      <c r="R66" s="92">
        <v>0</v>
      </c>
      <c r="S66" s="92">
        <v>0</v>
      </c>
      <c r="T66" s="92">
        <v>0</v>
      </c>
      <c r="U66" s="92">
        <v>0</v>
      </c>
      <c r="V66" s="92">
        <v>0</v>
      </c>
      <c r="W66" s="92">
        <v>0</v>
      </c>
      <c r="X66" s="92">
        <v>0</v>
      </c>
      <c r="Y66" s="92">
        <v>0</v>
      </c>
      <c r="Z66" s="92">
        <v>0</v>
      </c>
      <c r="AA66" s="92">
        <v>0</v>
      </c>
      <c r="AB66" s="92">
        <v>0</v>
      </c>
      <c r="AC66" s="92">
        <v>0</v>
      </c>
      <c r="AD66" s="92">
        <v>0</v>
      </c>
      <c r="AE66" s="92">
        <v>0</v>
      </c>
      <c r="AF66" s="92">
        <v>0</v>
      </c>
      <c r="AG66" s="92">
        <v>0</v>
      </c>
      <c r="AH66" s="92">
        <v>0</v>
      </c>
      <c r="AI66" s="338">
        <v>0</v>
      </c>
      <c r="AJ66" s="338">
        <f t="shared" si="19"/>
        <v>0</v>
      </c>
      <c r="AK66" s="338">
        <v>0</v>
      </c>
      <c r="AL66" s="338">
        <f t="shared" si="20"/>
        <v>0</v>
      </c>
      <c r="AM66" s="338">
        <f t="shared" si="21"/>
        <v>0</v>
      </c>
      <c r="AN66" s="338">
        <v>0</v>
      </c>
      <c r="AO66" s="338">
        <f t="shared" si="22"/>
        <v>0</v>
      </c>
      <c r="AP66" s="338">
        <v>0</v>
      </c>
    </row>
    <row r="67" spans="1:42" ht="72">
      <c r="A67" s="110" t="s">
        <v>423</v>
      </c>
      <c r="B67" s="111">
        <v>628.34185832028822</v>
      </c>
      <c r="C67" s="111">
        <v>709.68481063611421</v>
      </c>
      <c r="D67" s="111">
        <v>690.34813447381305</v>
      </c>
      <c r="E67" s="111">
        <v>673.4392268794544</v>
      </c>
      <c r="F67" s="111">
        <v>614.90443781273223</v>
      </c>
      <c r="G67" s="111">
        <v>626.71758211223937</v>
      </c>
      <c r="H67" s="111">
        <v>668.69549879146803</v>
      </c>
      <c r="I67" s="111">
        <v>620.39065297580976</v>
      </c>
      <c r="J67" s="111">
        <v>631.56748375520772</v>
      </c>
      <c r="K67" s="111">
        <v>605.5775591456146</v>
      </c>
      <c r="L67" s="111">
        <v>575.31133347168998</v>
      </c>
      <c r="M67" s="111">
        <v>581.62878824414838</v>
      </c>
      <c r="N67" s="111">
        <v>548.16755909386552</v>
      </c>
      <c r="O67" s="111">
        <v>568.52436964809601</v>
      </c>
      <c r="P67" s="111">
        <v>567.4834012261324</v>
      </c>
      <c r="Q67" s="111">
        <v>558.07691799217639</v>
      </c>
      <c r="R67" s="111">
        <v>528.61981731916478</v>
      </c>
      <c r="S67" s="111">
        <v>504.93817924283741</v>
      </c>
      <c r="T67" s="111">
        <v>535.38835471952871</v>
      </c>
      <c r="U67" s="111">
        <v>550.23117649616734</v>
      </c>
      <c r="V67" s="111">
        <v>590.71126014892479</v>
      </c>
      <c r="W67" s="111">
        <v>519.16516254699468</v>
      </c>
      <c r="X67" s="111">
        <v>563.69758087317655</v>
      </c>
      <c r="Y67" s="111">
        <v>593.15064372552308</v>
      </c>
      <c r="Z67" s="111">
        <v>519.01869617818795</v>
      </c>
      <c r="AA67" s="111">
        <v>538.01906311545713</v>
      </c>
      <c r="AB67" s="111">
        <v>556.00293635664821</v>
      </c>
      <c r="AC67" s="111">
        <v>545.27988835669385</v>
      </c>
      <c r="AD67" s="111">
        <v>532.08311581612918</v>
      </c>
      <c r="AE67" s="111">
        <v>533.0752326288773</v>
      </c>
      <c r="AF67" s="111">
        <v>510.85247421430233</v>
      </c>
      <c r="AG67" s="111">
        <v>545.37816555887719</v>
      </c>
      <c r="AH67" s="111">
        <v>493.16287108806262</v>
      </c>
      <c r="AI67" s="147">
        <v>526.70231162382697</v>
      </c>
      <c r="AJ67" s="155">
        <f>SUM(AJ60:AJ66)</f>
        <v>513.47796005319606</v>
      </c>
      <c r="AK67" s="155">
        <v>500.25360848256497</v>
      </c>
      <c r="AL67" s="155">
        <f t="shared" ref="AL67:AO67" si="23">SUM(AL60:AL66)</f>
        <v>487.19126838103421</v>
      </c>
      <c r="AM67" s="155">
        <f t="shared" si="23"/>
        <v>474.12892827950361</v>
      </c>
      <c r="AN67" s="155">
        <v>461.06658817797279</v>
      </c>
      <c r="AO67" s="155">
        <f t="shared" si="23"/>
        <v>447.62660480472618</v>
      </c>
      <c r="AP67" s="155">
        <v>434.18662143147958</v>
      </c>
    </row>
    <row r="68" spans="1:42" ht="48">
      <c r="A68" s="91" t="s">
        <v>219</v>
      </c>
      <c r="B68" s="92">
        <v>50.056726685889899</v>
      </c>
      <c r="C68" s="92">
        <v>52.160153581329055</v>
      </c>
      <c r="D68" s="92">
        <v>47.932639374058255</v>
      </c>
      <c r="E68" s="92">
        <v>44.668339803267656</v>
      </c>
      <c r="F68" s="92">
        <v>41.674409010646755</v>
      </c>
      <c r="G68" s="92">
        <v>42.31536082167662</v>
      </c>
      <c r="H68" s="92">
        <v>45.186043047628559</v>
      </c>
      <c r="I68" s="92">
        <v>42.384455651256822</v>
      </c>
      <c r="J68" s="92">
        <v>45.113746656485738</v>
      </c>
      <c r="K68" s="92">
        <v>45.053447008955246</v>
      </c>
      <c r="L68" s="92">
        <v>41.136770626918036</v>
      </c>
      <c r="M68" s="92">
        <v>43.190151283873135</v>
      </c>
      <c r="N68" s="92">
        <v>38.382165356102249</v>
      </c>
      <c r="O68" s="92">
        <v>40.492404612743002</v>
      </c>
      <c r="P68" s="92">
        <v>40.491936305589618</v>
      </c>
      <c r="Q68" s="92">
        <v>39.807946529669465</v>
      </c>
      <c r="R68" s="92">
        <v>34.471097485632015</v>
      </c>
      <c r="S68" s="92">
        <v>34.418699355814901</v>
      </c>
      <c r="T68" s="92">
        <v>38.186716968499745</v>
      </c>
      <c r="U68" s="92">
        <v>38.683465983856962</v>
      </c>
      <c r="V68" s="92">
        <v>35.456292086155926</v>
      </c>
      <c r="W68" s="92">
        <v>27.547295529409269</v>
      </c>
      <c r="X68" s="92">
        <v>32.101722223266037</v>
      </c>
      <c r="Y68" s="92">
        <v>37.272937710946607</v>
      </c>
      <c r="Z68" s="92">
        <v>32.691520591260065</v>
      </c>
      <c r="AA68" s="92">
        <v>34.39756092008853</v>
      </c>
      <c r="AB68" s="92">
        <v>34.161324588755541</v>
      </c>
      <c r="AC68" s="92">
        <v>34.849164386114175</v>
      </c>
      <c r="AD68" s="92">
        <v>33.643871452564539</v>
      </c>
      <c r="AE68" s="92">
        <v>33.267761771552358</v>
      </c>
      <c r="AF68" s="92">
        <v>32.23579171502525</v>
      </c>
      <c r="AG68" s="92">
        <v>33.859814452017964</v>
      </c>
      <c r="AH68" s="92">
        <v>28.701840992437401</v>
      </c>
      <c r="AI68" s="338">
        <v>20.484700450608585</v>
      </c>
      <c r="AJ68" s="338">
        <f>AI68+(AK68-AI68)/2</f>
        <v>18.944106646981137</v>
      </c>
      <c r="AK68" s="338">
        <v>17.403512843353688</v>
      </c>
      <c r="AL68" s="338">
        <f t="shared" si="20"/>
        <v>15.882240155643661</v>
      </c>
      <c r="AM68" s="338">
        <f t="shared" si="21"/>
        <v>14.360967467933634</v>
      </c>
      <c r="AN68" s="338">
        <v>12.839694780223606</v>
      </c>
      <c r="AO68" s="338">
        <f>AN68+(AP68-AN68)/2</f>
        <v>11.318519582984553</v>
      </c>
      <c r="AP68" s="338">
        <v>9.797344385745502</v>
      </c>
    </row>
    <row r="69" spans="1:42" ht="24">
      <c r="A69" s="91" t="s">
        <v>220</v>
      </c>
      <c r="B69" s="92">
        <v>0</v>
      </c>
      <c r="C69" s="92">
        <v>0</v>
      </c>
      <c r="D69" s="92">
        <v>0</v>
      </c>
      <c r="E69" s="92">
        <v>0</v>
      </c>
      <c r="F69" s="92">
        <v>0</v>
      </c>
      <c r="G69" s="92">
        <v>0</v>
      </c>
      <c r="H69" s="92">
        <v>0</v>
      </c>
      <c r="I69" s="92">
        <v>0</v>
      </c>
      <c r="J69" s="92">
        <v>0</v>
      </c>
      <c r="K69" s="92">
        <v>0</v>
      </c>
      <c r="L69" s="92">
        <v>0</v>
      </c>
      <c r="M69" s="92">
        <v>0</v>
      </c>
      <c r="N69" s="92">
        <v>0</v>
      </c>
      <c r="O69" s="92">
        <v>0</v>
      </c>
      <c r="P69" s="92">
        <v>0</v>
      </c>
      <c r="Q69" s="92">
        <v>0</v>
      </c>
      <c r="R69" s="92">
        <v>0</v>
      </c>
      <c r="S69" s="92">
        <v>0</v>
      </c>
      <c r="T69" s="92">
        <v>0</v>
      </c>
      <c r="U69" s="92">
        <v>0</v>
      </c>
      <c r="V69" s="92">
        <v>0</v>
      </c>
      <c r="W69" s="92">
        <v>0</v>
      </c>
      <c r="X69" s="92">
        <v>0</v>
      </c>
      <c r="Y69" s="92">
        <v>0</v>
      </c>
      <c r="Z69" s="92">
        <v>0</v>
      </c>
      <c r="AA69" s="92">
        <v>0</v>
      </c>
      <c r="AB69" s="92">
        <v>0</v>
      </c>
      <c r="AC69" s="92">
        <v>0</v>
      </c>
      <c r="AD69" s="92">
        <v>0</v>
      </c>
      <c r="AE69" s="92">
        <v>0</v>
      </c>
      <c r="AF69" s="92">
        <v>0</v>
      </c>
      <c r="AG69" s="92">
        <v>0</v>
      </c>
      <c r="AH69" s="92">
        <v>0</v>
      </c>
      <c r="AI69" s="338">
        <v>0</v>
      </c>
      <c r="AJ69" s="338">
        <f t="shared" ref="AJ69:AJ72" si="24">AI69+(AK69-AI69)/2</f>
        <v>0</v>
      </c>
      <c r="AK69" s="338">
        <v>0</v>
      </c>
      <c r="AL69" s="338">
        <f t="shared" si="20"/>
        <v>0</v>
      </c>
      <c r="AM69" s="338">
        <f t="shared" si="21"/>
        <v>0</v>
      </c>
      <c r="AN69" s="338">
        <v>0</v>
      </c>
      <c r="AO69" s="338">
        <f t="shared" ref="AO69:AO72" si="25">AN69+(AP69-AN69)/2</f>
        <v>0</v>
      </c>
      <c r="AP69" s="338">
        <v>0</v>
      </c>
    </row>
    <row r="70" spans="1:42" ht="24">
      <c r="A70" s="91" t="s">
        <v>222</v>
      </c>
      <c r="B70" s="92">
        <v>0</v>
      </c>
      <c r="C70" s="92">
        <v>0</v>
      </c>
      <c r="D70" s="92">
        <v>0</v>
      </c>
      <c r="E70" s="92">
        <v>0</v>
      </c>
      <c r="F70" s="92">
        <v>0</v>
      </c>
      <c r="G70" s="92">
        <v>0</v>
      </c>
      <c r="H70" s="92">
        <v>0</v>
      </c>
      <c r="I70" s="92">
        <v>0</v>
      </c>
      <c r="J70" s="92">
        <v>0</v>
      </c>
      <c r="K70" s="92">
        <v>0</v>
      </c>
      <c r="L70" s="92">
        <v>0</v>
      </c>
      <c r="M70" s="92">
        <v>0</v>
      </c>
      <c r="N70" s="92">
        <v>0</v>
      </c>
      <c r="O70" s="92">
        <v>0</v>
      </c>
      <c r="P70" s="92">
        <v>0</v>
      </c>
      <c r="Q70" s="92">
        <v>0</v>
      </c>
      <c r="R70" s="92">
        <v>0</v>
      </c>
      <c r="S70" s="92">
        <v>0</v>
      </c>
      <c r="T70" s="92">
        <v>0</v>
      </c>
      <c r="U70" s="92">
        <v>0</v>
      </c>
      <c r="V70" s="92">
        <v>0</v>
      </c>
      <c r="W70" s="92">
        <v>0</v>
      </c>
      <c r="X70" s="92">
        <v>0</v>
      </c>
      <c r="Y70" s="92">
        <v>0</v>
      </c>
      <c r="Z70" s="92">
        <v>0</v>
      </c>
      <c r="AA70" s="92">
        <v>0</v>
      </c>
      <c r="AB70" s="92">
        <v>0</v>
      </c>
      <c r="AC70" s="92">
        <v>0</v>
      </c>
      <c r="AD70" s="92">
        <v>0</v>
      </c>
      <c r="AE70" s="92">
        <v>0</v>
      </c>
      <c r="AF70" s="92">
        <v>0</v>
      </c>
      <c r="AG70" s="92">
        <v>0</v>
      </c>
      <c r="AH70" s="92">
        <v>0</v>
      </c>
      <c r="AI70" s="338">
        <v>0</v>
      </c>
      <c r="AJ70" s="338">
        <f t="shared" si="24"/>
        <v>0</v>
      </c>
      <c r="AK70" s="338">
        <v>0</v>
      </c>
      <c r="AL70" s="338">
        <f t="shared" si="20"/>
        <v>0</v>
      </c>
      <c r="AM70" s="338">
        <f t="shared" si="21"/>
        <v>0</v>
      </c>
      <c r="AN70" s="338">
        <v>0</v>
      </c>
      <c r="AO70" s="338">
        <f t="shared" si="25"/>
        <v>0</v>
      </c>
      <c r="AP70" s="338">
        <v>0</v>
      </c>
    </row>
    <row r="71" spans="1:42" ht="84">
      <c r="A71" s="91" t="s">
        <v>221</v>
      </c>
      <c r="B71" s="92">
        <v>87.34389051962944</v>
      </c>
      <c r="C71" s="92">
        <v>87.682720068414724</v>
      </c>
      <c r="D71" s="92">
        <v>88.022981576268222</v>
      </c>
      <c r="E71" s="92">
        <v>88.32293251872656</v>
      </c>
      <c r="F71" s="92">
        <v>88.58304625123148</v>
      </c>
      <c r="G71" s="92">
        <v>88.837672509086744</v>
      </c>
      <c r="H71" s="92">
        <v>89.08919940017492</v>
      </c>
      <c r="I71" s="92">
        <v>89.340945022467764</v>
      </c>
      <c r="J71" s="92">
        <v>89.602802284163673</v>
      </c>
      <c r="K71" s="92">
        <v>89.967150355378209</v>
      </c>
      <c r="L71" s="92">
        <v>90.449813326759795</v>
      </c>
      <c r="M71" s="92">
        <v>90.967035393939909</v>
      </c>
      <c r="N71" s="92">
        <v>91.487642111600678</v>
      </c>
      <c r="O71" s="92">
        <v>91.995719374310241</v>
      </c>
      <c r="P71" s="92">
        <v>92.528423053215718</v>
      </c>
      <c r="Q71" s="92">
        <v>93.077317648807394</v>
      </c>
      <c r="R71" s="92">
        <v>93.587228882540998</v>
      </c>
      <c r="S71" s="92">
        <v>94.041577772011138</v>
      </c>
      <c r="T71" s="92">
        <v>94.46240769819255</v>
      </c>
      <c r="U71" s="92">
        <v>94.845479096678488</v>
      </c>
      <c r="V71" s="92">
        <v>95.209884429624864</v>
      </c>
      <c r="W71" s="92">
        <v>95.582327638487129</v>
      </c>
      <c r="X71" s="92">
        <v>95.95370059392296</v>
      </c>
      <c r="Y71" s="92">
        <v>96.33672785827234</v>
      </c>
      <c r="Z71" s="92">
        <v>96.702078691707584</v>
      </c>
      <c r="AA71" s="92">
        <v>97.016108539560719</v>
      </c>
      <c r="AB71" s="92">
        <v>97.110614061985856</v>
      </c>
      <c r="AC71" s="92">
        <v>97.404023955940232</v>
      </c>
      <c r="AD71" s="92">
        <v>97.680675158073441</v>
      </c>
      <c r="AE71" s="92">
        <v>97.94751895719925</v>
      </c>
      <c r="AF71" s="92">
        <v>98.159598142157691</v>
      </c>
      <c r="AG71" s="92">
        <v>98.366958618839504</v>
      </c>
      <c r="AH71" s="92">
        <v>98.603999687114438</v>
      </c>
      <c r="AI71" s="338">
        <v>98.640957798719228</v>
      </c>
      <c r="AJ71" s="338">
        <f t="shared" si="24"/>
        <v>98.814743213812108</v>
      </c>
      <c r="AK71" s="338">
        <v>98.988528628905001</v>
      </c>
      <c r="AL71" s="338">
        <f t="shared" si="20"/>
        <v>99.104814649024718</v>
      </c>
      <c r="AM71" s="338">
        <f t="shared" si="21"/>
        <v>99.221100669144434</v>
      </c>
      <c r="AN71" s="338">
        <v>99.33738668926415</v>
      </c>
      <c r="AO71" s="338">
        <f t="shared" si="25"/>
        <v>99.511288945934155</v>
      </c>
      <c r="AP71" s="338">
        <v>99.685191202604145</v>
      </c>
    </row>
    <row r="72" spans="1:42" ht="72">
      <c r="A72" s="91" t="s">
        <v>424</v>
      </c>
      <c r="B72" s="92">
        <v>31.270349799999998</v>
      </c>
      <c r="C72" s="92">
        <v>28.717869800000006</v>
      </c>
      <c r="D72" s="92">
        <v>19.383879477645245</v>
      </c>
      <c r="E72" s="92">
        <v>16.178630611411144</v>
      </c>
      <c r="F72" s="92">
        <v>7.0699880798562571</v>
      </c>
      <c r="G72" s="92">
        <v>3.6045243630499391</v>
      </c>
      <c r="H72" s="92">
        <v>6.4573793600067271</v>
      </c>
      <c r="I72" s="92">
        <v>9.6554991030105697</v>
      </c>
      <c r="J72" s="92">
        <v>14.226185529806283</v>
      </c>
      <c r="K72" s="92">
        <v>13.875642750254046</v>
      </c>
      <c r="L72" s="92">
        <v>13.564233551156411</v>
      </c>
      <c r="M72" s="92">
        <v>13.311906704932385</v>
      </c>
      <c r="N72" s="92">
        <v>13.596508864737046</v>
      </c>
      <c r="O72" s="92">
        <v>14.934979259572028</v>
      </c>
      <c r="P72" s="92">
        <v>14.797964796393007</v>
      </c>
      <c r="Q72" s="92">
        <v>13.516109632441678</v>
      </c>
      <c r="R72" s="92">
        <v>13.658799010666995</v>
      </c>
      <c r="S72" s="92">
        <v>13.119805811817374</v>
      </c>
      <c r="T72" s="92">
        <v>13.372352170805911</v>
      </c>
      <c r="U72" s="92">
        <v>12.242421701452868</v>
      </c>
      <c r="V72" s="92">
        <v>12.165375337686681</v>
      </c>
      <c r="W72" s="92">
        <v>14.48901223673955</v>
      </c>
      <c r="X72" s="92">
        <v>12.294064422697225</v>
      </c>
      <c r="Y72" s="92">
        <v>12.23293851554717</v>
      </c>
      <c r="Z72" s="92">
        <v>11.663946008070766</v>
      </c>
      <c r="AA72" s="92">
        <v>11.034467310398526</v>
      </c>
      <c r="AB72" s="92">
        <v>7.3965908868112091</v>
      </c>
      <c r="AC72" s="92">
        <v>7.4928664637019189</v>
      </c>
      <c r="AD72" s="92">
        <v>8.0164323876127472</v>
      </c>
      <c r="AE72" s="92">
        <v>7.9785587598116301</v>
      </c>
      <c r="AF72" s="92">
        <v>7.2249903047494781</v>
      </c>
      <c r="AG72" s="92">
        <v>10.999952962566923</v>
      </c>
      <c r="AH72" s="92">
        <v>14.3333216956964</v>
      </c>
      <c r="AI72" s="338">
        <v>4.9305748023820968</v>
      </c>
      <c r="AJ72" s="338">
        <f t="shared" si="24"/>
        <v>4.3096888877523902</v>
      </c>
      <c r="AK72" s="338">
        <v>3.6888029731226837</v>
      </c>
      <c r="AL72" s="338">
        <f t="shared" si="20"/>
        <v>3.0954371917062371</v>
      </c>
      <c r="AM72" s="338">
        <f t="shared" si="21"/>
        <v>2.5020714102897905</v>
      </c>
      <c r="AN72" s="338">
        <v>1.9087056288733442</v>
      </c>
      <c r="AO72" s="338">
        <f t="shared" si="25"/>
        <v>1.3153398474568976</v>
      </c>
      <c r="AP72" s="338">
        <v>0.72197406604045089</v>
      </c>
    </row>
    <row r="73" spans="1:42">
      <c r="A73" s="112" t="s">
        <v>425</v>
      </c>
      <c r="B73" s="113">
        <v>797.01282532580751</v>
      </c>
      <c r="C73" s="113">
        <v>878.24555408585798</v>
      </c>
      <c r="D73" s="113">
        <v>845.6876349017848</v>
      </c>
      <c r="E73" s="113">
        <v>822.60912981285969</v>
      </c>
      <c r="F73" s="113">
        <v>752.23188115446669</v>
      </c>
      <c r="G73" s="113">
        <v>761.47513980605265</v>
      </c>
      <c r="H73" s="113">
        <v>809.42812059927826</v>
      </c>
      <c r="I73" s="113">
        <v>761.77155275254495</v>
      </c>
      <c r="J73" s="113">
        <v>780.51021822566338</v>
      </c>
      <c r="K73" s="113">
        <v>754.4737992602021</v>
      </c>
      <c r="L73" s="113">
        <v>720.46215097652419</v>
      </c>
      <c r="M73" s="113">
        <v>729.09788162689381</v>
      </c>
      <c r="N73" s="113">
        <v>691.63387542630551</v>
      </c>
      <c r="O73" s="113">
        <v>715.94747289472127</v>
      </c>
      <c r="P73" s="113">
        <v>715.3017253813307</v>
      </c>
      <c r="Q73" s="113">
        <v>704.47829180309486</v>
      </c>
      <c r="R73" s="113">
        <v>670.3369426980048</v>
      </c>
      <c r="S73" s="113">
        <v>646.51826218248084</v>
      </c>
      <c r="T73" s="113">
        <v>681.40983155702691</v>
      </c>
      <c r="U73" s="113">
        <v>696.0025432781556</v>
      </c>
      <c r="V73" s="113">
        <v>733.54281200239222</v>
      </c>
      <c r="W73" s="113">
        <v>656.78379795163062</v>
      </c>
      <c r="X73" s="113">
        <v>704.04706811306278</v>
      </c>
      <c r="Y73" s="113">
        <v>738.99324781028918</v>
      </c>
      <c r="Z73" s="113">
        <v>660.07624146922637</v>
      </c>
      <c r="AA73" s="113">
        <v>680.4671998855049</v>
      </c>
      <c r="AB73" s="113">
        <v>694.67146589420076</v>
      </c>
      <c r="AC73" s="113">
        <v>685.02594316245018</v>
      </c>
      <c r="AD73" s="113">
        <v>671.42409481437994</v>
      </c>
      <c r="AE73" s="113">
        <v>672.2690721174406</v>
      </c>
      <c r="AF73" s="113">
        <v>648.47285437623475</v>
      </c>
      <c r="AG73" s="113">
        <v>688.60489159230156</v>
      </c>
      <c r="AH73" s="113">
        <v>634.80203346331086</v>
      </c>
      <c r="AI73" s="148">
        <v>650.75854467553688</v>
      </c>
      <c r="AJ73" s="154">
        <f>AJ67+AJ68+SUM(AJ69:AJ72)</f>
        <v>635.54649880174168</v>
      </c>
      <c r="AK73" s="154">
        <v>620.33445292794647</v>
      </c>
      <c r="AL73" s="154">
        <f>AL67+AL68+SUM(AL69:AL72)</f>
        <v>605.27376037740885</v>
      </c>
      <c r="AM73" s="154">
        <f>AM67+AM68+SUM(AM69:AM72)</f>
        <v>590.21306782687145</v>
      </c>
      <c r="AN73" s="154">
        <v>575.15237527633394</v>
      </c>
      <c r="AO73" s="154">
        <f>AO67+AO68+SUM(AO69:AO72)</f>
        <v>559.77175318110176</v>
      </c>
      <c r="AP73" s="154">
        <v>544.39113108586969</v>
      </c>
    </row>
    <row r="74" spans="1:42" ht="15">
      <c r="A74" s="421"/>
      <c r="B74" s="421"/>
      <c r="C74" s="421"/>
      <c r="D74" s="421"/>
      <c r="E74" s="421"/>
      <c r="F74" s="421"/>
      <c r="G74" s="421"/>
      <c r="H74" s="421"/>
      <c r="I74" s="421"/>
      <c r="J74" s="421"/>
      <c r="K74" s="421"/>
      <c r="L74" s="421"/>
      <c r="M74" s="421"/>
      <c r="N74" s="421"/>
      <c r="O74" s="421"/>
      <c r="P74" s="421"/>
      <c r="Q74" s="421"/>
      <c r="R74" s="421"/>
      <c r="S74" s="421"/>
      <c r="T74" s="421"/>
      <c r="U74" s="421"/>
      <c r="V74" s="421"/>
      <c r="W74" s="421"/>
      <c r="X74" s="421"/>
      <c r="Y74" s="421"/>
      <c r="Z74" s="421"/>
      <c r="AA74" s="421"/>
      <c r="AB74" s="421"/>
      <c r="AC74" s="70"/>
      <c r="AD74" s="70"/>
      <c r="AE74" s="70"/>
      <c r="AF74" s="70"/>
      <c r="AG74" s="70"/>
      <c r="AH74" s="70"/>
    </row>
    <row r="75" spans="1:42">
      <c r="A75" s="114" t="s">
        <v>400</v>
      </c>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430" t="s">
        <v>393</v>
      </c>
      <c r="AJ75" s="430"/>
      <c r="AK75" s="430"/>
      <c r="AL75" s="430"/>
      <c r="AM75" s="430"/>
      <c r="AN75" s="430"/>
      <c r="AO75" s="430"/>
      <c r="AP75" s="430"/>
    </row>
    <row r="76" spans="1:42" ht="105.6">
      <c r="A76" s="75" t="s">
        <v>483</v>
      </c>
      <c r="B76" s="76">
        <v>1990</v>
      </c>
      <c r="C76" s="76">
        <v>1991</v>
      </c>
      <c r="D76" s="76">
        <v>1992</v>
      </c>
      <c r="E76" s="76">
        <v>1993</v>
      </c>
      <c r="F76" s="76">
        <v>1994</v>
      </c>
      <c r="G76" s="76">
        <v>1995</v>
      </c>
      <c r="H76" s="76">
        <v>1996</v>
      </c>
      <c r="I76" s="76">
        <v>1997</v>
      </c>
      <c r="J76" s="76">
        <v>1998</v>
      </c>
      <c r="K76" s="76">
        <v>1999</v>
      </c>
      <c r="L76" s="76">
        <v>2000</v>
      </c>
      <c r="M76" s="76">
        <v>2001</v>
      </c>
      <c r="N76" s="76">
        <v>2002</v>
      </c>
      <c r="O76" s="76">
        <v>2003</v>
      </c>
      <c r="P76" s="76">
        <v>2004</v>
      </c>
      <c r="Q76" s="76">
        <v>2005</v>
      </c>
      <c r="R76" s="76">
        <v>2006</v>
      </c>
      <c r="S76" s="76">
        <v>2007</v>
      </c>
      <c r="T76" s="76">
        <v>2008</v>
      </c>
      <c r="U76" s="76">
        <v>2009</v>
      </c>
      <c r="V76" s="76">
        <v>2010</v>
      </c>
      <c r="W76" s="76">
        <v>2011</v>
      </c>
      <c r="X76" s="76">
        <v>2012</v>
      </c>
      <c r="Y76" s="76">
        <v>2013</v>
      </c>
      <c r="Z76" s="76">
        <v>2014</v>
      </c>
      <c r="AA76" s="76">
        <v>2015</v>
      </c>
      <c r="AB76" s="76">
        <v>2016</v>
      </c>
      <c r="AC76" s="76">
        <v>2017</v>
      </c>
      <c r="AD76" s="76">
        <v>2018</v>
      </c>
      <c r="AE76" s="76">
        <v>2019</v>
      </c>
      <c r="AF76" s="76">
        <v>2020</v>
      </c>
      <c r="AG76" s="77">
        <v>2021</v>
      </c>
      <c r="AH76" s="77" t="s">
        <v>395</v>
      </c>
      <c r="AI76" s="76">
        <v>2023</v>
      </c>
      <c r="AJ76" s="152">
        <v>2024</v>
      </c>
      <c r="AK76" s="76">
        <v>2025</v>
      </c>
      <c r="AL76" s="152">
        <v>2026</v>
      </c>
      <c r="AM76" s="152">
        <v>2027</v>
      </c>
      <c r="AN76" s="76">
        <v>2028</v>
      </c>
      <c r="AO76" s="152">
        <v>2029</v>
      </c>
      <c r="AP76" s="76">
        <v>2030</v>
      </c>
    </row>
    <row r="77" spans="1:42">
      <c r="A77" s="100" t="s">
        <v>295</v>
      </c>
      <c r="B77" s="92">
        <v>2249.6446091498347</v>
      </c>
      <c r="C77" s="92">
        <v>2196.8433927264023</v>
      </c>
      <c r="D77" s="92">
        <v>2137.5410006297379</v>
      </c>
      <c r="E77" s="92">
        <v>2110.1426913516166</v>
      </c>
      <c r="F77" s="92">
        <v>2113.2017418766964</v>
      </c>
      <c r="G77" s="92">
        <v>2109.1705307290749</v>
      </c>
      <c r="H77" s="92">
        <v>2092.6579796390824</v>
      </c>
      <c r="I77" s="92">
        <v>2054.3843553350343</v>
      </c>
      <c r="J77" s="92">
        <v>2031.4447354950021</v>
      </c>
      <c r="K77" s="92">
        <v>2020.560037724418</v>
      </c>
      <c r="L77" s="92">
        <v>2113.3740580521685</v>
      </c>
      <c r="M77" s="92">
        <v>2093.4713232468539</v>
      </c>
      <c r="N77" s="92">
        <v>2041.7527513086666</v>
      </c>
      <c r="O77" s="92">
        <v>1972.8715760424911</v>
      </c>
      <c r="P77" s="92">
        <v>1948.2955148311376</v>
      </c>
      <c r="Q77" s="92">
        <v>1946.0038908241213</v>
      </c>
      <c r="R77" s="92">
        <v>1951.6360367846178</v>
      </c>
      <c r="S77" s="92">
        <v>1968.070822069631</v>
      </c>
      <c r="T77" s="92">
        <v>2003.1088695848371</v>
      </c>
      <c r="U77" s="92">
        <v>1969.0196469723185</v>
      </c>
      <c r="V77" s="92">
        <v>1953.5598218538385</v>
      </c>
      <c r="W77" s="92">
        <v>1951.2083136882886</v>
      </c>
      <c r="X77" s="92">
        <v>1934.5595912071228</v>
      </c>
      <c r="Y77" s="92">
        <v>1931.4200288130255</v>
      </c>
      <c r="Z77" s="92">
        <v>1948.9021047094568</v>
      </c>
      <c r="AA77" s="92">
        <v>1952.6337714417807</v>
      </c>
      <c r="AB77" s="92">
        <v>1936.3868726981791</v>
      </c>
      <c r="AC77" s="92">
        <v>1894.6698617647712</v>
      </c>
      <c r="AD77" s="92">
        <v>1862.6701209129308</v>
      </c>
      <c r="AE77" s="92">
        <v>1813.199971957765</v>
      </c>
      <c r="AF77" s="92">
        <v>1776.8832696213169</v>
      </c>
      <c r="AG77" s="92">
        <v>1722.4658444649124</v>
      </c>
      <c r="AH77" s="92">
        <v>1722.4658444649124</v>
      </c>
      <c r="AI77" s="338">
        <v>1579.206003956117</v>
      </c>
      <c r="AJ77" s="338">
        <f>AI77+(AK77-AI77)/2</f>
        <v>1521.0916544729098</v>
      </c>
      <c r="AK77" s="338">
        <v>1462.9773049897024</v>
      </c>
      <c r="AL77" s="338">
        <f>AK77+(AN77-AK77)/3</f>
        <v>1408.1896968036442</v>
      </c>
      <c r="AM77" s="338">
        <f>AK77+(AN77-AK77)*2/3</f>
        <v>1353.4020886175861</v>
      </c>
      <c r="AN77" s="338">
        <v>1298.6144804315279</v>
      </c>
      <c r="AO77" s="338">
        <f>AN77+(AP77-AN77)/2</f>
        <v>1251.6568258958223</v>
      </c>
      <c r="AP77" s="338">
        <v>1204.6991713601165</v>
      </c>
    </row>
    <row r="78" spans="1:42">
      <c r="A78" s="100" t="s">
        <v>296</v>
      </c>
      <c r="B78" s="92">
        <v>81.544410231614719</v>
      </c>
      <c r="C78" s="92">
        <v>82.667581295383414</v>
      </c>
      <c r="D78" s="92">
        <v>86.912736620659473</v>
      </c>
      <c r="E78" s="92">
        <v>88.566550275712018</v>
      </c>
      <c r="F78" s="92">
        <v>89.391058624943412</v>
      </c>
      <c r="G78" s="92">
        <v>86.096503463999582</v>
      </c>
      <c r="H78" s="92">
        <v>84.573261461377925</v>
      </c>
      <c r="I78" s="92">
        <v>81.337726625145805</v>
      </c>
      <c r="J78" s="92">
        <v>78.420856270113291</v>
      </c>
      <c r="K78" s="92">
        <v>74.842715243836409</v>
      </c>
      <c r="L78" s="92">
        <v>70.526021005879699</v>
      </c>
      <c r="M78" s="92">
        <v>64.4316813247342</v>
      </c>
      <c r="N78" s="92">
        <v>61.339922558251658</v>
      </c>
      <c r="O78" s="92">
        <v>57.415158500491664</v>
      </c>
      <c r="P78" s="92">
        <v>53.644063208160887</v>
      </c>
      <c r="Q78" s="92">
        <v>49.85665483753457</v>
      </c>
      <c r="R78" s="92">
        <v>46.746121536730286</v>
      </c>
      <c r="S78" s="92">
        <v>44.03696388584568</v>
      </c>
      <c r="T78" s="92">
        <v>41.19697206362202</v>
      </c>
      <c r="U78" s="92">
        <v>39.465091508589737</v>
      </c>
      <c r="V78" s="92">
        <v>37.824529374584841</v>
      </c>
      <c r="W78" s="92">
        <v>36.625674349601418</v>
      </c>
      <c r="X78" s="92">
        <v>34.94769277197716</v>
      </c>
      <c r="Y78" s="92">
        <v>33.434764073497377</v>
      </c>
      <c r="Z78" s="92">
        <v>32.672075038252686</v>
      </c>
      <c r="AA78" s="92">
        <v>31.778102911423282</v>
      </c>
      <c r="AB78" s="92">
        <v>31.759594822667236</v>
      </c>
      <c r="AC78" s="92">
        <v>31.337229078951172</v>
      </c>
      <c r="AD78" s="92">
        <v>31.379888118586575</v>
      </c>
      <c r="AE78" s="92">
        <v>31.835587408092493</v>
      </c>
      <c r="AF78" s="92">
        <v>32.309726975363965</v>
      </c>
      <c r="AG78" s="92">
        <v>31.530300599471989</v>
      </c>
      <c r="AH78" s="92">
        <v>31.530300599471985</v>
      </c>
      <c r="AI78" s="338">
        <v>31.101723984704226</v>
      </c>
      <c r="AJ78" s="338">
        <f t="shared" ref="AJ78:AJ80" si="26">AI78+(AK78-AI78)/2</f>
        <v>30.180092800211142</v>
      </c>
      <c r="AK78" s="338">
        <v>29.258461615718055</v>
      </c>
      <c r="AL78" s="338">
        <f t="shared" ref="AL78:AL80" si="27">AK78+(AN78-AK78)/3</f>
        <v>28.369371954535055</v>
      </c>
      <c r="AM78" s="338">
        <f t="shared" ref="AM78:AM80" si="28">AK78+(AN78-AK78)*2/3</f>
        <v>27.480282293352051</v>
      </c>
      <c r="AN78" s="338">
        <v>26.591192632169051</v>
      </c>
      <c r="AO78" s="338">
        <f t="shared" ref="AO78:AO80" si="29">AN78+(AP78-AN78)/2</f>
        <v>25.830372269932731</v>
      </c>
      <c r="AP78" s="338">
        <v>25.069551907696415</v>
      </c>
    </row>
    <row r="79" spans="1:42">
      <c r="A79" s="100" t="s">
        <v>297</v>
      </c>
      <c r="B79" s="92">
        <v>59.960220919045923</v>
      </c>
      <c r="C79" s="92">
        <v>61.714282257914753</v>
      </c>
      <c r="D79" s="92">
        <v>63.363551796255045</v>
      </c>
      <c r="E79" s="92">
        <v>64.795972295125793</v>
      </c>
      <c r="F79" s="92">
        <v>66.126447535715783</v>
      </c>
      <c r="G79" s="92">
        <v>67.743872228144497</v>
      </c>
      <c r="H79" s="92">
        <v>68.811108063604934</v>
      </c>
      <c r="I79" s="92">
        <v>70.073224897563094</v>
      </c>
      <c r="J79" s="92">
        <v>70.265328632665529</v>
      </c>
      <c r="K79" s="92">
        <v>68.058102935474935</v>
      </c>
      <c r="L79" s="92">
        <v>66.049373685595555</v>
      </c>
      <c r="M79" s="92">
        <v>66.934593288274826</v>
      </c>
      <c r="N79" s="92">
        <v>65.154632293617141</v>
      </c>
      <c r="O79" s="92">
        <v>63.822563315825406</v>
      </c>
      <c r="P79" s="92">
        <v>60.437268284452173</v>
      </c>
      <c r="Q79" s="92">
        <v>58.532092756058518</v>
      </c>
      <c r="R79" s="92">
        <v>56.798956603783594</v>
      </c>
      <c r="S79" s="92">
        <v>57.550080551220496</v>
      </c>
      <c r="T79" s="92">
        <v>57.564778230970056</v>
      </c>
      <c r="U79" s="92">
        <v>57.592768363655807</v>
      </c>
      <c r="V79" s="92">
        <v>58.041880935520844</v>
      </c>
      <c r="W79" s="92">
        <v>57.341427466478784</v>
      </c>
      <c r="X79" s="92">
        <v>57.806543061417585</v>
      </c>
      <c r="Y79" s="92">
        <v>58.727819541031394</v>
      </c>
      <c r="Z79" s="92">
        <v>58.93749574938014</v>
      </c>
      <c r="AA79" s="92">
        <v>59.102324480530918</v>
      </c>
      <c r="AB79" s="92">
        <v>57.205647564937053</v>
      </c>
      <c r="AC79" s="92">
        <v>56.354792752344245</v>
      </c>
      <c r="AD79" s="92">
        <v>54.115150098472085</v>
      </c>
      <c r="AE79" s="92">
        <v>52.634961244819536</v>
      </c>
      <c r="AF79" s="92">
        <v>52.073209280313826</v>
      </c>
      <c r="AG79" s="92">
        <v>51.916471061777401</v>
      </c>
      <c r="AH79" s="92">
        <v>51.916471061777401</v>
      </c>
      <c r="AI79" s="338">
        <v>45.522285650360871</v>
      </c>
      <c r="AJ79" s="338">
        <f t="shared" si="26"/>
        <v>44.65403612256457</v>
      </c>
      <c r="AK79" s="338">
        <v>43.785786594768268</v>
      </c>
      <c r="AL79" s="338">
        <f t="shared" si="27"/>
        <v>42.917350030051423</v>
      </c>
      <c r="AM79" s="338">
        <f t="shared" si="28"/>
        <v>42.048913465334579</v>
      </c>
      <c r="AN79" s="338">
        <v>41.180476900617734</v>
      </c>
      <c r="AO79" s="338">
        <f t="shared" si="29"/>
        <v>40.459880997427206</v>
      </c>
      <c r="AP79" s="338">
        <v>39.739285094236671</v>
      </c>
    </row>
    <row r="80" spans="1:42" ht="36">
      <c r="A80" s="100" t="s">
        <v>298</v>
      </c>
      <c r="B80" s="92">
        <v>1444.4631735771911</v>
      </c>
      <c r="C80" s="92">
        <v>1429.9043560661926</v>
      </c>
      <c r="D80" s="92">
        <v>1418.0212704746341</v>
      </c>
      <c r="E80" s="92">
        <v>1415.4292195248313</v>
      </c>
      <c r="F80" s="92">
        <v>1424.9031353619969</v>
      </c>
      <c r="G80" s="92">
        <v>1433.7364793904962</v>
      </c>
      <c r="H80" s="92">
        <v>1438.0883005525595</v>
      </c>
      <c r="I80" s="92">
        <v>1428.7125320430623</v>
      </c>
      <c r="J80" s="92">
        <v>1422.6708131664104</v>
      </c>
      <c r="K80" s="92">
        <v>1411.1670532553994</v>
      </c>
      <c r="L80" s="92">
        <v>1429.253820839225</v>
      </c>
      <c r="M80" s="92">
        <v>1416.7265656739205</v>
      </c>
      <c r="N80" s="92">
        <v>1394.8884252952303</v>
      </c>
      <c r="O80" s="92">
        <v>1364.0921190026947</v>
      </c>
      <c r="P80" s="92">
        <v>1339.774177309363</v>
      </c>
      <c r="Q80" s="92">
        <v>1326.8587076374658</v>
      </c>
      <c r="R80" s="92">
        <v>1314.5804706445892</v>
      </c>
      <c r="S80" s="92">
        <v>1318.2006086660672</v>
      </c>
      <c r="T80" s="92">
        <v>1321.3334566532151</v>
      </c>
      <c r="U80" s="92">
        <v>1302.1298502199832</v>
      </c>
      <c r="V80" s="92">
        <v>1296.1932130594623</v>
      </c>
      <c r="W80" s="92">
        <v>1281.6801381572027</v>
      </c>
      <c r="X80" s="92">
        <v>1260.7349763203404</v>
      </c>
      <c r="Y80" s="92">
        <v>1249.8009112442849</v>
      </c>
      <c r="Z80" s="92">
        <v>1250.4652649522593</v>
      </c>
      <c r="AA80" s="92">
        <v>1242.9816743535209</v>
      </c>
      <c r="AB80" s="92">
        <v>1226.0339848774286</v>
      </c>
      <c r="AC80" s="92">
        <v>1207.1998255264309</v>
      </c>
      <c r="AD80" s="92">
        <v>1195.7352420970381</v>
      </c>
      <c r="AE80" s="92">
        <v>1173.3085307246354</v>
      </c>
      <c r="AF80" s="92">
        <v>1162.5062308488659</v>
      </c>
      <c r="AG80" s="92">
        <v>1141.3050941917513</v>
      </c>
      <c r="AH80" s="92">
        <v>1141.3050941917513</v>
      </c>
      <c r="AI80" s="338">
        <v>1057.999528286301</v>
      </c>
      <c r="AJ80" s="338">
        <f t="shared" si="26"/>
        <v>1030.7935500108083</v>
      </c>
      <c r="AK80" s="338">
        <v>1003.5875717353158</v>
      </c>
      <c r="AL80" s="338">
        <f t="shared" si="27"/>
        <v>977.76140864343222</v>
      </c>
      <c r="AM80" s="338">
        <f t="shared" si="28"/>
        <v>951.93524555154852</v>
      </c>
      <c r="AN80" s="338">
        <v>926.10908245966493</v>
      </c>
      <c r="AO80" s="338">
        <f t="shared" si="29"/>
        <v>903.48909097808837</v>
      </c>
      <c r="AP80" s="338">
        <v>880.86909949651192</v>
      </c>
    </row>
    <row r="81" spans="1:42">
      <c r="A81" s="116" t="s">
        <v>426</v>
      </c>
      <c r="B81" s="117">
        <v>3835.6124138776859</v>
      </c>
      <c r="C81" s="117">
        <v>3771.1296123458933</v>
      </c>
      <c r="D81" s="117">
        <v>3705.8385595212867</v>
      </c>
      <c r="E81" s="117">
        <v>3678.9344334472858</v>
      </c>
      <c r="F81" s="117">
        <v>3693.6223833993527</v>
      </c>
      <c r="G81" s="117">
        <v>3696.747385811715</v>
      </c>
      <c r="H81" s="117">
        <v>3684.1306497166252</v>
      </c>
      <c r="I81" s="117">
        <v>3634.5078389008058</v>
      </c>
      <c r="J81" s="117">
        <v>3602.8017335641912</v>
      </c>
      <c r="K81" s="117">
        <v>3574.6279091591286</v>
      </c>
      <c r="L81" s="117">
        <v>3679.2032735828689</v>
      </c>
      <c r="M81" s="117">
        <v>3641.5641635337834</v>
      </c>
      <c r="N81" s="117">
        <v>3563.1357314557654</v>
      </c>
      <c r="O81" s="117">
        <v>3458.2014168615033</v>
      </c>
      <c r="P81" s="117">
        <v>3402.1510236331137</v>
      </c>
      <c r="Q81" s="117">
        <v>3381.25134605518</v>
      </c>
      <c r="R81" s="117">
        <v>3369.7615855697209</v>
      </c>
      <c r="S81" s="117">
        <v>3387.8584751727644</v>
      </c>
      <c r="T81" s="117">
        <v>3423.2040765326446</v>
      </c>
      <c r="U81" s="117">
        <v>3368.2073570645471</v>
      </c>
      <c r="V81" s="117">
        <v>3345.6194452234067</v>
      </c>
      <c r="W81" s="117">
        <v>3326.8555536615713</v>
      </c>
      <c r="X81" s="117">
        <v>3288.0488033608581</v>
      </c>
      <c r="Y81" s="117">
        <v>3273.3835236718387</v>
      </c>
      <c r="Z81" s="117">
        <v>3290.9769404493491</v>
      </c>
      <c r="AA81" s="117">
        <v>3286.4958731872557</v>
      </c>
      <c r="AB81" s="117">
        <v>3251.3860999632116</v>
      </c>
      <c r="AC81" s="117">
        <v>3189.5617091224976</v>
      </c>
      <c r="AD81" s="117">
        <v>3143.9004012270275</v>
      </c>
      <c r="AE81" s="117">
        <v>3070.9790513353128</v>
      </c>
      <c r="AF81" s="117">
        <v>3023.7724367258606</v>
      </c>
      <c r="AG81" s="117">
        <v>2947.2177103179129</v>
      </c>
      <c r="AH81" s="117">
        <v>2947.2177103179129</v>
      </c>
      <c r="AI81" s="345">
        <v>2713.8295418774828</v>
      </c>
      <c r="AJ81" s="345">
        <f>SUM(AJ77:AJ80)</f>
        <v>2626.7193334064941</v>
      </c>
      <c r="AK81" s="345">
        <v>2539.6091249355045</v>
      </c>
      <c r="AL81" s="345">
        <f t="shared" ref="AL81:AO81" si="30">SUM(AL77:AL80)</f>
        <v>2457.2378274316629</v>
      </c>
      <c r="AM81" s="345">
        <f t="shared" si="30"/>
        <v>2374.8665299278214</v>
      </c>
      <c r="AN81" s="345">
        <v>2292.4952324239798</v>
      </c>
      <c r="AO81" s="345">
        <f t="shared" si="30"/>
        <v>2221.4361701412708</v>
      </c>
      <c r="AP81" s="345">
        <v>2150.3771078585614</v>
      </c>
    </row>
    <row r="82" spans="1:42" ht="36">
      <c r="A82" s="100" t="s">
        <v>300</v>
      </c>
      <c r="B82" s="92">
        <v>11563.66503145663</v>
      </c>
      <c r="C82" s="92">
        <v>11322.497983639356</v>
      </c>
      <c r="D82" s="92">
        <v>11124.0601281492</v>
      </c>
      <c r="E82" s="92">
        <v>10387.956926753819</v>
      </c>
      <c r="F82" s="92">
        <v>9633.5309677757778</v>
      </c>
      <c r="G82" s="92">
        <v>9968.7743995136207</v>
      </c>
      <c r="H82" s="92">
        <v>10437.578344975911</v>
      </c>
      <c r="I82" s="92">
        <v>10620.012586696059</v>
      </c>
      <c r="J82" s="92">
        <v>10580.617571134286</v>
      </c>
      <c r="K82" s="92">
        <v>10698.991713894307</v>
      </c>
      <c r="L82" s="92">
        <v>10913.707046435065</v>
      </c>
      <c r="M82" s="92">
        <v>10865.718090996806</v>
      </c>
      <c r="N82" s="92">
        <v>10492.513143711225</v>
      </c>
      <c r="O82" s="92">
        <v>10132.975503605647</v>
      </c>
      <c r="P82" s="92">
        <v>10179.918500102141</v>
      </c>
      <c r="Q82" s="92">
        <v>10420.275550466527</v>
      </c>
      <c r="R82" s="92">
        <v>9922.1255609931268</v>
      </c>
      <c r="S82" s="92">
        <v>9555.5187737898705</v>
      </c>
      <c r="T82" s="92">
        <v>10111.611360755531</v>
      </c>
      <c r="U82" s="92">
        <v>9892.6563904299364</v>
      </c>
      <c r="V82" s="92">
        <v>9140.3608502122515</v>
      </c>
      <c r="W82" s="92">
        <v>9623.7882452932699</v>
      </c>
      <c r="X82" s="92">
        <v>9477.1048053533505</v>
      </c>
      <c r="Y82" s="92">
        <v>9099.1505570864465</v>
      </c>
      <c r="Z82" s="92">
        <v>9439.550339885167</v>
      </c>
      <c r="AA82" s="92">
        <v>9574.9761279264621</v>
      </c>
      <c r="AB82" s="92">
        <v>9637.9589464084438</v>
      </c>
      <c r="AC82" s="92">
        <v>9748.8934296213101</v>
      </c>
      <c r="AD82" s="92">
        <v>9818.5189460594356</v>
      </c>
      <c r="AE82" s="92">
        <v>9321.8510034584597</v>
      </c>
      <c r="AF82" s="92">
        <v>8875.9673807053041</v>
      </c>
      <c r="AG82" s="92">
        <v>8616.8270492097836</v>
      </c>
      <c r="AH82" s="92">
        <v>8616.8270492097818</v>
      </c>
      <c r="AI82" s="338">
        <v>8170.5080115535957</v>
      </c>
      <c r="AJ82" s="338">
        <f>AI82+(AK82-AI82)/2</f>
        <v>7935.6629983415642</v>
      </c>
      <c r="AK82" s="338">
        <v>7700.8179851295326</v>
      </c>
      <c r="AL82" s="338">
        <f>AK82+(AN82-AK82)/3</f>
        <v>7466.2810817560348</v>
      </c>
      <c r="AM82" s="338">
        <f>AK82+(AN82-AK82)*2/3</f>
        <v>7231.7441783825379</v>
      </c>
      <c r="AN82" s="338">
        <v>6997.2072750090401</v>
      </c>
      <c r="AO82" s="338">
        <f>AN82+(AP82-AN82)/2</f>
        <v>6762.9784814740806</v>
      </c>
      <c r="AP82" s="338">
        <v>6528.749687939121</v>
      </c>
    </row>
    <row r="83" spans="1:42" ht="36">
      <c r="A83" s="100" t="s">
        <v>427</v>
      </c>
      <c r="B83" s="92">
        <v>1499.6873578746886</v>
      </c>
      <c r="C83" s="92">
        <v>1486.3875865732041</v>
      </c>
      <c r="D83" s="92">
        <v>1476.5079622348255</v>
      </c>
      <c r="E83" s="92">
        <v>1477.4076758333633</v>
      </c>
      <c r="F83" s="92">
        <v>1489.9011554222802</v>
      </c>
      <c r="G83" s="92">
        <v>1503.0431076509583</v>
      </c>
      <c r="H83" s="92">
        <v>1513.2920976162625</v>
      </c>
      <c r="I83" s="92">
        <v>1509.4687435909809</v>
      </c>
      <c r="J83" s="92">
        <v>1514.2324790428611</v>
      </c>
      <c r="K83" s="92">
        <v>1508.244741461408</v>
      </c>
      <c r="L83" s="92">
        <v>1536.8418918745631</v>
      </c>
      <c r="M83" s="92">
        <v>1521.1171874571</v>
      </c>
      <c r="N83" s="92">
        <v>1501.7384283759891</v>
      </c>
      <c r="O83" s="92">
        <v>1469.879260996315</v>
      </c>
      <c r="P83" s="92">
        <v>1444.6284816293867</v>
      </c>
      <c r="Q83" s="92">
        <v>1432.4213194026945</v>
      </c>
      <c r="R83" s="92">
        <v>1429.3332057700006</v>
      </c>
      <c r="S83" s="92">
        <v>1441.8630588804674</v>
      </c>
      <c r="T83" s="92">
        <v>1477.2783242801672</v>
      </c>
      <c r="U83" s="92">
        <v>1452.6281312319659</v>
      </c>
      <c r="V83" s="92">
        <v>1455.4565089867049</v>
      </c>
      <c r="W83" s="92">
        <v>1464.3413615080688</v>
      </c>
      <c r="X83" s="92">
        <v>1459.4567402029254</v>
      </c>
      <c r="Y83" s="92">
        <v>1454.7894486144523</v>
      </c>
      <c r="Z83" s="92">
        <v>1476.2251643347488</v>
      </c>
      <c r="AA83" s="92">
        <v>1491.9766953282901</v>
      </c>
      <c r="AB83" s="92">
        <v>1477.9642522965344</v>
      </c>
      <c r="AC83" s="92">
        <v>1477.81133821254</v>
      </c>
      <c r="AD83" s="92">
        <v>1480.6348965013281</v>
      </c>
      <c r="AE83" s="92">
        <v>1458.9883499061045</v>
      </c>
      <c r="AF83" s="92">
        <v>1448.166840537659</v>
      </c>
      <c r="AG83" s="92">
        <v>1447.4935082989628</v>
      </c>
      <c r="AH83" s="92">
        <v>1447.4935082989628</v>
      </c>
      <c r="AI83" s="338">
        <v>1681.9034318955119</v>
      </c>
      <c r="AJ83" s="338">
        <f>AI83+(AK83-AI83)/2</f>
        <v>1757.4879204461613</v>
      </c>
      <c r="AK83" s="338">
        <v>1833.0724089968105</v>
      </c>
      <c r="AL83" s="338">
        <f>AK83+(AN83-AK83)/3</f>
        <v>1907.8390905875735</v>
      </c>
      <c r="AM83" s="338">
        <f>AK83+(AN83-AK83)*2/3</f>
        <v>1982.6057721783366</v>
      </c>
      <c r="AN83" s="338">
        <v>2057.3724537690996</v>
      </c>
      <c r="AO83" s="338">
        <f>AN83+(AP83-AN83)/2</f>
        <v>2129.6599044582545</v>
      </c>
      <c r="AP83" s="338">
        <v>2201.9473551474089</v>
      </c>
    </row>
    <row r="84" spans="1:42">
      <c r="A84" s="100" t="s">
        <v>428</v>
      </c>
      <c r="B84" s="92">
        <v>1802.6809400330164</v>
      </c>
      <c r="C84" s="92">
        <v>1785.1146845450126</v>
      </c>
      <c r="D84" s="92">
        <v>1779.4987878370619</v>
      </c>
      <c r="E84" s="92">
        <v>1769.5117502674902</v>
      </c>
      <c r="F84" s="92">
        <v>1775.2307683300698</v>
      </c>
      <c r="G84" s="92">
        <v>1786.9846561507388</v>
      </c>
      <c r="H84" s="92">
        <v>1793.8339490377384</v>
      </c>
      <c r="I84" s="92">
        <v>1779.2137270882986</v>
      </c>
      <c r="J84" s="92">
        <v>1769.5882264005261</v>
      </c>
      <c r="K84" s="92">
        <v>1772.4306093907046</v>
      </c>
      <c r="L84" s="92">
        <v>1831.1483950418574</v>
      </c>
      <c r="M84" s="92">
        <v>1843.0732670540533</v>
      </c>
      <c r="N84" s="92">
        <v>1791.6055911151323</v>
      </c>
      <c r="O84" s="92">
        <v>1737.7088043858425</v>
      </c>
      <c r="P84" s="92">
        <v>1706.0846521016927</v>
      </c>
      <c r="Q84" s="92">
        <v>1690.7184932996008</v>
      </c>
      <c r="R84" s="92">
        <v>1695.0086661654884</v>
      </c>
      <c r="S84" s="92">
        <v>1705.2382991472493</v>
      </c>
      <c r="T84" s="92">
        <v>1700.9345901869142</v>
      </c>
      <c r="U84" s="92">
        <v>1695.4496017176712</v>
      </c>
      <c r="V84" s="92">
        <v>1688.037598410498</v>
      </c>
      <c r="W84" s="92">
        <v>1630.2284907611026</v>
      </c>
      <c r="X84" s="92">
        <v>1620.1134203275017</v>
      </c>
      <c r="Y84" s="92">
        <v>1636.3823466485071</v>
      </c>
      <c r="Z84" s="92">
        <v>1657.8816391536195</v>
      </c>
      <c r="AA84" s="92">
        <v>1671.2964362723976</v>
      </c>
      <c r="AB84" s="92">
        <v>1668.6834210106408</v>
      </c>
      <c r="AC84" s="92">
        <v>1651.0125425777464</v>
      </c>
      <c r="AD84" s="92">
        <v>1618.4313142199237</v>
      </c>
      <c r="AE84" s="92">
        <v>1589.1548079792897</v>
      </c>
      <c r="AF84" s="92">
        <v>1558.1215421417246</v>
      </c>
      <c r="AG84" s="92">
        <v>1521.7959122804259</v>
      </c>
      <c r="AH84" s="92">
        <v>1521.7959122804259</v>
      </c>
      <c r="AI84" s="338">
        <v>1526.6187138173489</v>
      </c>
      <c r="AJ84" s="338">
        <f t="shared" ref="AJ84:AJ86" si="31">AI84+(AK84-AI84)/2</f>
        <v>1515.6563463826062</v>
      </c>
      <c r="AK84" s="338">
        <v>1504.6939789478636</v>
      </c>
      <c r="AL84" s="338">
        <f t="shared" ref="AL84:AL86" si="32">AK84+(AN84-AK84)/3</f>
        <v>1493.2712369317101</v>
      </c>
      <c r="AM84" s="338">
        <f t="shared" ref="AM84:AM86" si="33">AK84+(AN84-AK84)*2/3</f>
        <v>1481.8484949155566</v>
      </c>
      <c r="AN84" s="338">
        <v>1470.4257528994031</v>
      </c>
      <c r="AO84" s="338">
        <f t="shared" ref="AO84:AO86" si="34">AN84+(AP84-AN84)/2</f>
        <v>1458.5435586054323</v>
      </c>
      <c r="AP84" s="338">
        <v>1446.6613643114613</v>
      </c>
    </row>
    <row r="85" spans="1:42" ht="36">
      <c r="A85" s="100" t="s">
        <v>429</v>
      </c>
      <c r="B85" s="92">
        <v>19.022706699670056</v>
      </c>
      <c r="C85" s="92">
        <v>19.523677055907154</v>
      </c>
      <c r="D85" s="92">
        <v>19.630228309242831</v>
      </c>
      <c r="E85" s="92">
        <v>18.864953809132889</v>
      </c>
      <c r="F85" s="92">
        <v>19.22600821485177</v>
      </c>
      <c r="G85" s="92">
        <v>18.807592123906698</v>
      </c>
      <c r="H85" s="92">
        <v>19.966163503980692</v>
      </c>
      <c r="I85" s="92">
        <v>19.878563832897598</v>
      </c>
      <c r="J85" s="92">
        <v>20.78076428856771</v>
      </c>
      <c r="K85" s="92">
        <v>20.379572104484215</v>
      </c>
      <c r="L85" s="92">
        <v>20.449733498737597</v>
      </c>
      <c r="M85" s="92">
        <v>17.622701658602157</v>
      </c>
      <c r="N85" s="92">
        <v>17.743094522954102</v>
      </c>
      <c r="O85" s="92">
        <v>14.578853832010907</v>
      </c>
      <c r="P85" s="92">
        <v>15.039758066638226</v>
      </c>
      <c r="Q85" s="92">
        <v>13.074261307905273</v>
      </c>
      <c r="R85" s="92">
        <v>12.762691785532892</v>
      </c>
      <c r="S85" s="92">
        <v>12.050569332145042</v>
      </c>
      <c r="T85" s="92">
        <v>12.664132618068004</v>
      </c>
      <c r="U85" s="92">
        <v>12.586174622596024</v>
      </c>
      <c r="V85" s="92">
        <v>11.734226003350217</v>
      </c>
      <c r="W85" s="92">
        <v>11.128054643084122</v>
      </c>
      <c r="X85" s="92">
        <v>10.74328688232187</v>
      </c>
      <c r="Y85" s="92">
        <v>9.3322927808520557</v>
      </c>
      <c r="Z85" s="92">
        <v>9.0169398987929359</v>
      </c>
      <c r="AA85" s="92">
        <v>8.6563813096248925</v>
      </c>
      <c r="AB85" s="92">
        <v>7.0836838042349459</v>
      </c>
      <c r="AC85" s="92">
        <v>7.8483283335050222</v>
      </c>
      <c r="AD85" s="92">
        <v>7.0944489697349935</v>
      </c>
      <c r="AE85" s="92">
        <v>7.5708956317521947</v>
      </c>
      <c r="AF85" s="92">
        <v>6.6221746034387596</v>
      </c>
      <c r="AG85" s="92">
        <v>6.9025742096816227</v>
      </c>
      <c r="AH85" s="92">
        <v>6.9025742096816236</v>
      </c>
      <c r="AI85" s="338">
        <v>6.517231650018025</v>
      </c>
      <c r="AJ85" s="338">
        <f t="shared" si="31"/>
        <v>6.4822506655444467</v>
      </c>
      <c r="AK85" s="338">
        <v>6.4472696810708694</v>
      </c>
      <c r="AL85" s="338">
        <f t="shared" si="32"/>
        <v>6.4122886965972921</v>
      </c>
      <c r="AM85" s="338">
        <f t="shared" si="33"/>
        <v>6.3773077121237156</v>
      </c>
      <c r="AN85" s="338">
        <v>6.3423267276501383</v>
      </c>
      <c r="AO85" s="338">
        <f t="shared" si="34"/>
        <v>6.30734574317656</v>
      </c>
      <c r="AP85" s="338">
        <v>6.2723647587029827</v>
      </c>
    </row>
    <row r="86" spans="1:42" ht="36">
      <c r="A86" s="100" t="s">
        <v>430</v>
      </c>
      <c r="B86" s="92">
        <v>7393.5233311008014</v>
      </c>
      <c r="C86" s="92">
        <v>7618.9517538120253</v>
      </c>
      <c r="D86" s="92">
        <v>7992.1398601596293</v>
      </c>
      <c r="E86" s="92">
        <v>7700.9438442130067</v>
      </c>
      <c r="F86" s="92">
        <v>7481.6443775043472</v>
      </c>
      <c r="G86" s="92">
        <v>7284.0117280329059</v>
      </c>
      <c r="H86" s="92">
        <v>7396.0429705273755</v>
      </c>
      <c r="I86" s="92">
        <v>7611.0396857204832</v>
      </c>
      <c r="J86" s="92">
        <v>7821.5243805956825</v>
      </c>
      <c r="K86" s="92">
        <v>8008.9652235352232</v>
      </c>
      <c r="L86" s="92">
        <v>8143.6747282490669</v>
      </c>
      <c r="M86" s="92">
        <v>7829.6567792584028</v>
      </c>
      <c r="N86" s="92">
        <v>7940.5458904660281</v>
      </c>
      <c r="O86" s="92">
        <v>6805.8308042414783</v>
      </c>
      <c r="P86" s="92">
        <v>7976.7216493853866</v>
      </c>
      <c r="Q86" s="92">
        <v>7520.5359253360766</v>
      </c>
      <c r="R86" s="92">
        <v>7522.7219418198902</v>
      </c>
      <c r="S86" s="92">
        <v>8007.4194535860315</v>
      </c>
      <c r="T86" s="92">
        <v>8135.9654799309828</v>
      </c>
      <c r="U86" s="92">
        <v>7763.0245114925883</v>
      </c>
      <c r="V86" s="92">
        <v>7279.7399747892905</v>
      </c>
      <c r="W86" s="92">
        <v>7214.3313819925088</v>
      </c>
      <c r="X86" s="92">
        <v>7729.2822958707447</v>
      </c>
      <c r="Y86" s="92">
        <v>7525.6345426233083</v>
      </c>
      <c r="Z86" s="92">
        <v>8055.4483020997995</v>
      </c>
      <c r="AA86" s="92">
        <v>7473.4085397350473</v>
      </c>
      <c r="AB86" s="92">
        <v>7023.8029413756049</v>
      </c>
      <c r="AC86" s="92">
        <v>7547.2986364791586</v>
      </c>
      <c r="AD86" s="92">
        <v>7142.5495514971781</v>
      </c>
      <c r="AE86" s="92">
        <v>7013.6596573210772</v>
      </c>
      <c r="AF86" s="92">
        <v>6714.6855803718263</v>
      </c>
      <c r="AG86" s="92">
        <v>7082.7582606908045</v>
      </c>
      <c r="AH86" s="92">
        <v>7082.7582606908045</v>
      </c>
      <c r="AI86" s="338">
        <v>6461.2900004441008</v>
      </c>
      <c r="AJ86" s="338">
        <f t="shared" si="31"/>
        <v>6361.2304760157213</v>
      </c>
      <c r="AK86" s="338">
        <v>6261.1709515873417</v>
      </c>
      <c r="AL86" s="338">
        <f t="shared" si="32"/>
        <v>6161.7723957754461</v>
      </c>
      <c r="AM86" s="338">
        <f t="shared" si="33"/>
        <v>6062.3738399635504</v>
      </c>
      <c r="AN86" s="338">
        <v>5962.9752841516547</v>
      </c>
      <c r="AO86" s="338">
        <f t="shared" si="34"/>
        <v>5862.7611142611077</v>
      </c>
      <c r="AP86" s="338">
        <v>5762.5469443705615</v>
      </c>
    </row>
    <row r="87" spans="1:42">
      <c r="A87" s="116" t="s">
        <v>431</v>
      </c>
      <c r="B87" s="117">
        <v>22278.579367164806</v>
      </c>
      <c r="C87" s="117">
        <v>22232.475685625504</v>
      </c>
      <c r="D87" s="117">
        <v>22391.83696668996</v>
      </c>
      <c r="E87" s="117">
        <v>21354.685150876812</v>
      </c>
      <c r="F87" s="117">
        <v>20399.533277247327</v>
      </c>
      <c r="G87" s="117">
        <v>20561.621483472129</v>
      </c>
      <c r="H87" s="117">
        <v>21160.713525661267</v>
      </c>
      <c r="I87" s="117">
        <v>21539.613306928717</v>
      </c>
      <c r="J87" s="117">
        <v>21706.743421461924</v>
      </c>
      <c r="K87" s="117">
        <v>22009.01186038613</v>
      </c>
      <c r="L87" s="117">
        <v>22445.821795099291</v>
      </c>
      <c r="M87" s="117">
        <v>22077.188026424963</v>
      </c>
      <c r="N87" s="117">
        <v>21744.146148191328</v>
      </c>
      <c r="O87" s="117">
        <v>20160.973227061291</v>
      </c>
      <c r="P87" s="117">
        <v>21322.393041285242</v>
      </c>
      <c r="Q87" s="117">
        <v>21077.025549812803</v>
      </c>
      <c r="R87" s="117">
        <v>20581.952066534039</v>
      </c>
      <c r="S87" s="117">
        <v>20722.090154735764</v>
      </c>
      <c r="T87" s="117">
        <v>21438.453887771662</v>
      </c>
      <c r="U87" s="117">
        <v>20816.34480949476</v>
      </c>
      <c r="V87" s="117">
        <v>19575.329158402095</v>
      </c>
      <c r="W87" s="117">
        <v>19943.817534198035</v>
      </c>
      <c r="X87" s="117">
        <v>20296.700548636843</v>
      </c>
      <c r="Y87" s="117">
        <v>19725.289187753566</v>
      </c>
      <c r="Z87" s="117">
        <v>20638.122385372128</v>
      </c>
      <c r="AA87" s="117">
        <v>20220.314180571822</v>
      </c>
      <c r="AB87" s="117">
        <v>19815.493244895457</v>
      </c>
      <c r="AC87" s="117">
        <v>20432.864275224259</v>
      </c>
      <c r="AD87" s="117">
        <v>20067.229157247602</v>
      </c>
      <c r="AE87" s="117">
        <v>19391.224714296684</v>
      </c>
      <c r="AF87" s="117">
        <v>18603.563518359952</v>
      </c>
      <c r="AG87" s="117">
        <v>18675.777304689658</v>
      </c>
      <c r="AH87" s="117">
        <v>18675.777304689658</v>
      </c>
      <c r="AI87" s="345">
        <v>17846.837389360575</v>
      </c>
      <c r="AJ87" s="345">
        <f>SUM(AJ82:AJ86)</f>
        <v>17576.519991851597</v>
      </c>
      <c r="AK87" s="345">
        <v>17306.202594342623</v>
      </c>
      <c r="AL87" s="345">
        <f t="shared" ref="AL87:AO87" si="35">SUM(AL82:AL86)</f>
        <v>17035.576093747361</v>
      </c>
      <c r="AM87" s="345">
        <f t="shared" si="35"/>
        <v>16764.949593152105</v>
      </c>
      <c r="AN87" s="345">
        <v>16494.32309255685</v>
      </c>
      <c r="AO87" s="345">
        <f t="shared" si="35"/>
        <v>16220.250404542052</v>
      </c>
      <c r="AP87" s="345">
        <v>15946.177716527254</v>
      </c>
    </row>
    <row r="88" spans="1:42" ht="36">
      <c r="A88" s="100" t="s">
        <v>432</v>
      </c>
      <c r="B88" s="92">
        <v>769.88505889217276</v>
      </c>
      <c r="C88" s="92">
        <v>776.41745340159252</v>
      </c>
      <c r="D88" s="92">
        <v>783.42274977919249</v>
      </c>
      <c r="E88" s="92">
        <v>787.81071217009253</v>
      </c>
      <c r="F88" s="92">
        <v>791.74977489280559</v>
      </c>
      <c r="G88" s="92">
        <v>796.30071537645847</v>
      </c>
      <c r="H88" s="92">
        <v>800.51382735373647</v>
      </c>
      <c r="I88" s="92">
        <v>803.96953108366631</v>
      </c>
      <c r="J88" s="92">
        <v>807.98529510065339</v>
      </c>
      <c r="K88" s="92">
        <v>814.45611483838059</v>
      </c>
      <c r="L88" s="92">
        <v>819.40510849586042</v>
      </c>
      <c r="M88" s="92">
        <v>821.89900875809963</v>
      </c>
      <c r="N88" s="92">
        <v>826.70745998971279</v>
      </c>
      <c r="O88" s="92">
        <v>830.81956250214409</v>
      </c>
      <c r="P88" s="92">
        <v>870.33606147086107</v>
      </c>
      <c r="Q88" s="92">
        <v>844.14077665625075</v>
      </c>
      <c r="R88" s="92">
        <v>826.58727648486456</v>
      </c>
      <c r="S88" s="92">
        <v>822.01725332340436</v>
      </c>
      <c r="T88" s="92">
        <v>856.94037280201258</v>
      </c>
      <c r="U88" s="92">
        <v>871.63202020412245</v>
      </c>
      <c r="V88" s="92">
        <v>832.02439143760193</v>
      </c>
      <c r="W88" s="92">
        <v>843.48923630084028</v>
      </c>
      <c r="X88" s="92">
        <v>813.34941207116606</v>
      </c>
      <c r="Y88" s="92">
        <v>875.44424702251945</v>
      </c>
      <c r="Z88" s="92">
        <v>891.64588547303822</v>
      </c>
      <c r="AA88" s="92">
        <v>890.33135904155222</v>
      </c>
      <c r="AB88" s="92">
        <v>829.0201412730388</v>
      </c>
      <c r="AC88" s="92">
        <v>798.2596880740183</v>
      </c>
      <c r="AD88" s="92">
        <v>800.30912313023146</v>
      </c>
      <c r="AE88" s="92">
        <v>780.68533624538338</v>
      </c>
      <c r="AF88" s="92">
        <v>879.75471602421521</v>
      </c>
      <c r="AG88" s="92">
        <v>822.3228261767606</v>
      </c>
      <c r="AH88" s="92">
        <v>843.08270146270786</v>
      </c>
      <c r="AI88" s="425">
        <v>908.64228252058012</v>
      </c>
      <c r="AJ88" s="423">
        <f>AJ90</f>
        <v>903.1785475143588</v>
      </c>
      <c r="AK88" s="425">
        <v>897.71481250813747</v>
      </c>
      <c r="AL88" s="423">
        <f>AL90</f>
        <v>892.73660567803802</v>
      </c>
      <c r="AM88" s="423">
        <f>AM90</f>
        <v>887.75839884793868</v>
      </c>
      <c r="AN88" s="423">
        <v>882.78019201783923</v>
      </c>
      <c r="AO88" s="423">
        <f>AO90</f>
        <v>877.59217189000924</v>
      </c>
      <c r="AP88" s="423">
        <v>872.40415176217914</v>
      </c>
    </row>
    <row r="89" spans="1:42" ht="36">
      <c r="A89" s="100" t="s">
        <v>433</v>
      </c>
      <c r="B89" s="92">
        <v>37.174040658048945</v>
      </c>
      <c r="C89" s="92">
        <v>37.964038607716112</v>
      </c>
      <c r="D89" s="92">
        <v>38.757796697594188</v>
      </c>
      <c r="E89" s="92">
        <v>39.440257035850564</v>
      </c>
      <c r="F89" s="92">
        <v>40.163967792685646</v>
      </c>
      <c r="G89" s="92">
        <v>40.879229338642119</v>
      </c>
      <c r="H89" s="92">
        <v>41.637722288856942</v>
      </c>
      <c r="I89" s="92">
        <v>42.399419738478713</v>
      </c>
      <c r="J89" s="92">
        <v>43.187518528713511</v>
      </c>
      <c r="K89" s="92">
        <v>44.105857334583057</v>
      </c>
      <c r="L89" s="92">
        <v>44.947210255198151</v>
      </c>
      <c r="M89" s="92">
        <v>45.276053892648946</v>
      </c>
      <c r="N89" s="92">
        <v>45.632541161598006</v>
      </c>
      <c r="O89" s="92">
        <v>45.973575297850594</v>
      </c>
      <c r="P89" s="92">
        <v>48.254668156622088</v>
      </c>
      <c r="Q89" s="92">
        <v>46.881111041488722</v>
      </c>
      <c r="R89" s="92">
        <v>45.911829916133037</v>
      </c>
      <c r="S89" s="92">
        <v>45.67779473198609</v>
      </c>
      <c r="T89" s="92">
        <v>47.627935697460401</v>
      </c>
      <c r="U89" s="92">
        <v>48.410870810754218</v>
      </c>
      <c r="V89" s="92">
        <v>46.227578748628872</v>
      </c>
      <c r="W89" s="92">
        <v>46.857227193400625</v>
      </c>
      <c r="X89" s="92">
        <v>45.130713949028191</v>
      </c>
      <c r="Y89" s="92">
        <v>48.632342050971324</v>
      </c>
      <c r="Z89" s="92">
        <v>49.484833140952894</v>
      </c>
      <c r="AA89" s="92">
        <v>49.409629670325963</v>
      </c>
      <c r="AB89" s="92">
        <v>45.991676290236796</v>
      </c>
      <c r="AC89" s="92">
        <v>44.276327076331633</v>
      </c>
      <c r="AD89" s="92">
        <v>44.386605299540271</v>
      </c>
      <c r="AE89" s="92">
        <v>43.271685290062159</v>
      </c>
      <c r="AF89" s="92">
        <v>48.836292516453703</v>
      </c>
      <c r="AG89" s="92">
        <v>45.588059276843168</v>
      </c>
      <c r="AH89" s="92">
        <v>45.681738946095066</v>
      </c>
      <c r="AI89" s="425"/>
      <c r="AJ89" s="424"/>
      <c r="AK89" s="425"/>
      <c r="AL89" s="424"/>
      <c r="AM89" s="424"/>
      <c r="AN89" s="424"/>
      <c r="AO89" s="424"/>
      <c r="AP89" s="424"/>
    </row>
    <row r="90" spans="1:42">
      <c r="A90" s="116" t="s">
        <v>434</v>
      </c>
      <c r="B90" s="117">
        <v>807.05909955022173</v>
      </c>
      <c r="C90" s="117">
        <v>814.38149200930866</v>
      </c>
      <c r="D90" s="117">
        <v>822.18054647678673</v>
      </c>
      <c r="E90" s="117">
        <v>827.25096920594308</v>
      </c>
      <c r="F90" s="117">
        <v>831.91374268549123</v>
      </c>
      <c r="G90" s="117">
        <v>837.17994471510065</v>
      </c>
      <c r="H90" s="117">
        <v>842.15154964259341</v>
      </c>
      <c r="I90" s="117">
        <v>846.36895082214505</v>
      </c>
      <c r="J90" s="117">
        <v>851.17281362936694</v>
      </c>
      <c r="K90" s="117">
        <v>858.56197217296369</v>
      </c>
      <c r="L90" s="117">
        <v>864.35231875105853</v>
      </c>
      <c r="M90" s="117">
        <v>867.1750626507486</v>
      </c>
      <c r="N90" s="117">
        <v>872.34000115131084</v>
      </c>
      <c r="O90" s="117">
        <v>876.79313779999472</v>
      </c>
      <c r="P90" s="117">
        <v>918.59072962748314</v>
      </c>
      <c r="Q90" s="117">
        <v>891.02188769773943</v>
      </c>
      <c r="R90" s="117">
        <v>872.49910640099756</v>
      </c>
      <c r="S90" s="117">
        <v>867.69504805539043</v>
      </c>
      <c r="T90" s="117">
        <v>904.56830849947301</v>
      </c>
      <c r="U90" s="117">
        <v>920.04289101487666</v>
      </c>
      <c r="V90" s="117">
        <v>878.25197018623078</v>
      </c>
      <c r="W90" s="117">
        <v>890.34646349424088</v>
      </c>
      <c r="X90" s="117">
        <v>858.48012602019423</v>
      </c>
      <c r="Y90" s="117">
        <v>924.07658907349082</v>
      </c>
      <c r="Z90" s="117">
        <v>941.13071861399112</v>
      </c>
      <c r="AA90" s="117">
        <v>939.74098871187823</v>
      </c>
      <c r="AB90" s="117">
        <v>875.0118175632756</v>
      </c>
      <c r="AC90" s="117">
        <v>842.53601515034995</v>
      </c>
      <c r="AD90" s="117">
        <v>844.69572842977175</v>
      </c>
      <c r="AE90" s="117">
        <v>823.95702153544551</v>
      </c>
      <c r="AF90" s="117">
        <v>928.59100854066889</v>
      </c>
      <c r="AG90" s="117">
        <v>867.91088545360378</v>
      </c>
      <c r="AH90" s="117">
        <v>888.7644404088029</v>
      </c>
      <c r="AI90" s="346">
        <f>AI88</f>
        <v>908.64228252058012</v>
      </c>
      <c r="AJ90" s="338">
        <f>AI90+(AK90-AI90)/2</f>
        <v>903.1785475143588</v>
      </c>
      <c r="AK90" s="346">
        <f t="shared" ref="AK90:AP90" si="36">AK88</f>
        <v>897.71481250813747</v>
      </c>
      <c r="AL90" s="338">
        <f>AK90+(AN90-AK90)/3</f>
        <v>892.73660567803802</v>
      </c>
      <c r="AM90" s="338">
        <f>AK90+(AN90-AK90)*2/3</f>
        <v>887.75839884793868</v>
      </c>
      <c r="AN90" s="346">
        <f t="shared" si="36"/>
        <v>882.78019201783923</v>
      </c>
      <c r="AO90" s="338">
        <f>AN90+(AP90-AN90)/2</f>
        <v>877.59217189000924</v>
      </c>
      <c r="AP90" s="346">
        <f t="shared" si="36"/>
        <v>872.40415176217914</v>
      </c>
    </row>
    <row r="91" spans="1:42">
      <c r="A91" s="118" t="s">
        <v>435</v>
      </c>
      <c r="B91" s="119">
        <v>26921.250880592714</v>
      </c>
      <c r="C91" s="119">
        <v>26817.986789980707</v>
      </c>
      <c r="D91" s="119">
        <v>26919.856072688031</v>
      </c>
      <c r="E91" s="119">
        <v>25860.87055353004</v>
      </c>
      <c r="F91" s="119">
        <v>24925.069403332171</v>
      </c>
      <c r="G91" s="119">
        <v>25095.548813998947</v>
      </c>
      <c r="H91" s="119">
        <v>25686.995725020486</v>
      </c>
      <c r="I91" s="119">
        <v>26020.490096651665</v>
      </c>
      <c r="J91" s="119">
        <v>26160.717968655485</v>
      </c>
      <c r="K91" s="119">
        <v>26442.201741718221</v>
      </c>
      <c r="L91" s="119">
        <v>26989.377387433218</v>
      </c>
      <c r="M91" s="119">
        <v>26585.927252609494</v>
      </c>
      <c r="N91" s="119">
        <v>26179.621880798404</v>
      </c>
      <c r="O91" s="119">
        <v>24495.967781722789</v>
      </c>
      <c r="P91" s="119">
        <v>25643.134794545836</v>
      </c>
      <c r="Q91" s="119">
        <v>25349.298783565719</v>
      </c>
      <c r="R91" s="119">
        <v>24824.21275850476</v>
      </c>
      <c r="S91" s="119">
        <v>24977.643677963919</v>
      </c>
      <c r="T91" s="119">
        <v>25766.226272803782</v>
      </c>
      <c r="U91" s="119">
        <v>25104.595057574184</v>
      </c>
      <c r="V91" s="119">
        <v>23799.200573811733</v>
      </c>
      <c r="W91" s="119">
        <v>24161.019551353846</v>
      </c>
      <c r="X91" s="119">
        <v>24443.229478017893</v>
      </c>
      <c r="Y91" s="119">
        <v>23922.749300498894</v>
      </c>
      <c r="Z91" s="119">
        <v>24870.23004443547</v>
      </c>
      <c r="AA91" s="119">
        <v>24446.551042470957</v>
      </c>
      <c r="AB91" s="119">
        <v>23941.891162421944</v>
      </c>
      <c r="AC91" s="119">
        <v>24464.961999497107</v>
      </c>
      <c r="AD91" s="119">
        <v>24055.825286904401</v>
      </c>
      <c r="AE91" s="119">
        <v>23286.160787167442</v>
      </c>
      <c r="AF91" s="119">
        <v>22555.92696362648</v>
      </c>
      <c r="AG91" s="119">
        <v>22490.905900461174</v>
      </c>
      <c r="AH91" s="119">
        <v>22511.759455416373</v>
      </c>
      <c r="AI91" s="145">
        <v>21469.309213758639</v>
      </c>
      <c r="AJ91" s="145">
        <f>SUM(AJ81,AJ87,AJ90)</f>
        <v>21106.41787277245</v>
      </c>
      <c r="AK91" s="145">
        <f t="shared" ref="AK91:AP91" si="37">SUM(AK81,AK87,AK90)</f>
        <v>20743.526531786265</v>
      </c>
      <c r="AL91" s="145">
        <f t="shared" si="37"/>
        <v>20385.55052685706</v>
      </c>
      <c r="AM91" s="145">
        <f t="shared" si="37"/>
        <v>20027.574521927865</v>
      </c>
      <c r="AN91" s="145">
        <f t="shared" si="37"/>
        <v>19669.598516998667</v>
      </c>
      <c r="AO91" s="145">
        <f t="shared" si="37"/>
        <v>19319.278746573331</v>
      </c>
      <c r="AP91" s="145">
        <f t="shared" si="37"/>
        <v>18968.958976147995</v>
      </c>
    </row>
    <row r="92" spans="1:42">
      <c r="A92" s="120"/>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row>
    <row r="93" spans="1:42">
      <c r="A93" s="122" t="s">
        <v>54</v>
      </c>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428" t="s">
        <v>393</v>
      </c>
      <c r="AJ93" s="428"/>
      <c r="AK93" s="428"/>
      <c r="AL93" s="428"/>
      <c r="AM93" s="428"/>
      <c r="AN93" s="428"/>
      <c r="AO93" s="428"/>
      <c r="AP93" s="428"/>
    </row>
    <row r="94" spans="1:42" ht="105.6">
      <c r="A94" s="75" t="s">
        <v>483</v>
      </c>
      <c r="B94" s="76">
        <v>1990</v>
      </c>
      <c r="C94" s="76">
        <v>1991</v>
      </c>
      <c r="D94" s="76">
        <v>1992</v>
      </c>
      <c r="E94" s="76">
        <v>1993</v>
      </c>
      <c r="F94" s="76">
        <v>1994</v>
      </c>
      <c r="G94" s="76">
        <v>1995</v>
      </c>
      <c r="H94" s="76">
        <v>1996</v>
      </c>
      <c r="I94" s="76">
        <v>1997</v>
      </c>
      <c r="J94" s="76">
        <v>1998</v>
      </c>
      <c r="K94" s="76">
        <v>1999</v>
      </c>
      <c r="L94" s="76">
        <v>2000</v>
      </c>
      <c r="M94" s="76">
        <v>2001</v>
      </c>
      <c r="N94" s="76">
        <v>2002</v>
      </c>
      <c r="O94" s="76">
        <v>2003</v>
      </c>
      <c r="P94" s="76">
        <v>2004</v>
      </c>
      <c r="Q94" s="76">
        <v>2005</v>
      </c>
      <c r="R94" s="76">
        <v>2006</v>
      </c>
      <c r="S94" s="76">
        <v>2007</v>
      </c>
      <c r="T94" s="76">
        <v>2008</v>
      </c>
      <c r="U94" s="76">
        <v>2009</v>
      </c>
      <c r="V94" s="76">
        <v>2010</v>
      </c>
      <c r="W94" s="76">
        <v>2011</v>
      </c>
      <c r="X94" s="76">
        <v>2012</v>
      </c>
      <c r="Y94" s="76">
        <v>2013</v>
      </c>
      <c r="Z94" s="76">
        <v>2014</v>
      </c>
      <c r="AA94" s="76">
        <v>2015</v>
      </c>
      <c r="AB94" s="76">
        <v>2016</v>
      </c>
      <c r="AC94" s="76">
        <v>2017</v>
      </c>
      <c r="AD94" s="76">
        <v>2018</v>
      </c>
      <c r="AE94" s="76">
        <v>2019</v>
      </c>
      <c r="AF94" s="76">
        <v>2020</v>
      </c>
      <c r="AG94" s="77">
        <v>2021</v>
      </c>
      <c r="AH94" s="77" t="s">
        <v>395</v>
      </c>
      <c r="AI94" s="76">
        <v>2023</v>
      </c>
      <c r="AJ94" s="152">
        <v>2024</v>
      </c>
      <c r="AK94" s="76">
        <v>2025</v>
      </c>
      <c r="AL94" s="152">
        <v>2026</v>
      </c>
      <c r="AM94" s="152">
        <v>2027</v>
      </c>
      <c r="AN94" s="76">
        <v>2028</v>
      </c>
      <c r="AO94" s="152">
        <v>2029</v>
      </c>
      <c r="AP94" s="76">
        <v>2030</v>
      </c>
    </row>
    <row r="95" spans="1:42">
      <c r="A95" s="100" t="s">
        <v>436</v>
      </c>
      <c r="B95" s="92">
        <v>2.6812720313036751</v>
      </c>
      <c r="C95" s="92">
        <v>5.8580302079383433</v>
      </c>
      <c r="D95" s="92">
        <v>9.8554332059753254</v>
      </c>
      <c r="E95" s="92">
        <v>17.379867295132364</v>
      </c>
      <c r="F95" s="92">
        <v>28.893339529926163</v>
      </c>
      <c r="G95" s="92">
        <v>41.449831934185966</v>
      </c>
      <c r="H95" s="92">
        <v>53.499877716549513</v>
      </c>
      <c r="I95" s="92">
        <v>70.505642155327948</v>
      </c>
      <c r="J95" s="92">
        <v>90.927341887264575</v>
      </c>
      <c r="K95" s="92">
        <v>114.07538731615004</v>
      </c>
      <c r="L95" s="92">
        <v>137.9929318520565</v>
      </c>
      <c r="M95" s="92">
        <v>184.66920476411616</v>
      </c>
      <c r="N95" s="92">
        <v>233.39460750285338</v>
      </c>
      <c r="O95" s="92">
        <v>282.76290735226308</v>
      </c>
      <c r="P95" s="92">
        <v>321.0892613463098</v>
      </c>
      <c r="Q95" s="92">
        <v>361.12319603392655</v>
      </c>
      <c r="R95" s="92">
        <v>408.47120708872097</v>
      </c>
      <c r="S95" s="92">
        <v>455.65098157974666</v>
      </c>
      <c r="T95" s="92">
        <v>490.41384329900654</v>
      </c>
      <c r="U95" s="92">
        <v>540.05712162582972</v>
      </c>
      <c r="V95" s="92">
        <v>580.9401787717743</v>
      </c>
      <c r="W95" s="92">
        <v>608.87712597384007</v>
      </c>
      <c r="X95" s="92">
        <v>643.14356862535965</v>
      </c>
      <c r="Y95" s="92">
        <v>663.21054593689632</v>
      </c>
      <c r="Z95" s="92">
        <v>680.0662787766031</v>
      </c>
      <c r="AA95" s="92">
        <v>697.90234996143079</v>
      </c>
      <c r="AB95" s="92">
        <v>698.04734805717169</v>
      </c>
      <c r="AC95" s="92">
        <v>685.0921213864259</v>
      </c>
      <c r="AD95" s="92">
        <v>651.527781022726</v>
      </c>
      <c r="AE95" s="92">
        <v>632.86666757812179</v>
      </c>
      <c r="AF95" s="92">
        <v>510.17258217099806</v>
      </c>
      <c r="AG95" s="92">
        <v>554.65991549383682</v>
      </c>
      <c r="AH95" s="92">
        <v>551.62388703896988</v>
      </c>
      <c r="AI95" s="338">
        <v>467.40482062421478</v>
      </c>
      <c r="AJ95" s="338">
        <f>AI95+(AK95-AI95)/2</f>
        <v>419.01593640487079</v>
      </c>
      <c r="AK95" s="338">
        <v>370.62705218552679</v>
      </c>
      <c r="AL95" s="338">
        <f>AK95+(AN95-AK95)/3</f>
        <v>342.61729173815132</v>
      </c>
      <c r="AM95" s="338">
        <f>AK95+(AN95-AK95)*2/3</f>
        <v>314.6075312907758</v>
      </c>
      <c r="AN95" s="338">
        <v>286.59777084340033</v>
      </c>
      <c r="AO95" s="338">
        <f>AN95+(AP95-AN95)/2</f>
        <v>258.52123592109979</v>
      </c>
      <c r="AP95" s="338">
        <v>230.44470099879919</v>
      </c>
    </row>
    <row r="96" spans="1:42">
      <c r="A96" s="100" t="s">
        <v>437</v>
      </c>
      <c r="B96" s="92">
        <v>498.96859651775407</v>
      </c>
      <c r="C96" s="92">
        <v>505.82194484161994</v>
      </c>
      <c r="D96" s="92">
        <v>551.96400833761709</v>
      </c>
      <c r="E96" s="92">
        <v>647.38810038385259</v>
      </c>
      <c r="F96" s="92">
        <v>827.51682703912707</v>
      </c>
      <c r="G96" s="92">
        <v>1079.3340452822993</v>
      </c>
      <c r="H96" s="92">
        <v>1357.9420134427744</v>
      </c>
      <c r="I96" s="92">
        <v>1572.7013046825073</v>
      </c>
      <c r="J96" s="92">
        <v>1639.2372666455715</v>
      </c>
      <c r="K96" s="92">
        <v>824.6805093344143</v>
      </c>
      <c r="L96" s="92">
        <v>757.93075101042825</v>
      </c>
      <c r="M96" s="92">
        <v>745.52463173939987</v>
      </c>
      <c r="N96" s="92">
        <v>700.73378236936401</v>
      </c>
      <c r="O96" s="92">
        <v>663.02407739340151</v>
      </c>
      <c r="P96" s="92">
        <v>626.52989856396698</v>
      </c>
      <c r="Q96" s="92">
        <v>566.34310802223115</v>
      </c>
      <c r="R96" s="92">
        <v>495.99666627120865</v>
      </c>
      <c r="S96" s="92">
        <v>439.98626582535354</v>
      </c>
      <c r="T96" s="92">
        <v>382.31287989408105</v>
      </c>
      <c r="U96" s="92">
        <v>191.71069570162965</v>
      </c>
      <c r="V96" s="92">
        <v>171.42953453026459</v>
      </c>
      <c r="W96" s="92">
        <v>148.81686416753271</v>
      </c>
      <c r="X96" s="92">
        <v>126.82838607282858</v>
      </c>
      <c r="Y96" s="92">
        <v>113.91855268902982</v>
      </c>
      <c r="Z96" s="92">
        <v>106.16932917497336</v>
      </c>
      <c r="AA96" s="92">
        <v>99.788749787067275</v>
      </c>
      <c r="AB96" s="92">
        <v>97.877295787075283</v>
      </c>
      <c r="AC96" s="92">
        <v>92.346295089809431</v>
      </c>
      <c r="AD96" s="92">
        <v>88.856782392785377</v>
      </c>
      <c r="AE96" s="92">
        <v>86.069883846075442</v>
      </c>
      <c r="AF96" s="92">
        <v>67.901680346856423</v>
      </c>
      <c r="AG96" s="92">
        <v>75.512895454122727</v>
      </c>
      <c r="AH96" s="92">
        <v>79.702057567233467</v>
      </c>
      <c r="AI96" s="338">
        <v>85.403947531754341</v>
      </c>
      <c r="AJ96" s="338">
        <f t="shared" ref="AJ96:AJ99" si="38">AI96+(AK96-AI96)/2</f>
        <v>88.787944499723181</v>
      </c>
      <c r="AK96" s="338">
        <v>92.171941467692037</v>
      </c>
      <c r="AL96" s="338">
        <f t="shared" ref="AL96:AL99" si="39">AK96+(AN96-AK96)/3</f>
        <v>91.83396330895529</v>
      </c>
      <c r="AM96" s="338">
        <f t="shared" ref="AM96:AM99" si="40">AK96+(AN96-AK96)*2/3</f>
        <v>91.495985150218544</v>
      </c>
      <c r="AN96" s="338">
        <v>91.158006991481798</v>
      </c>
      <c r="AO96" s="338">
        <f t="shared" ref="AO96:AO99" si="41">AN96+(AP96-AN96)/2</f>
        <v>90.637267656526205</v>
      </c>
      <c r="AP96" s="338">
        <v>90.116528321570613</v>
      </c>
    </row>
    <row r="97" spans="1:42">
      <c r="A97" s="100" t="s">
        <v>438</v>
      </c>
      <c r="B97" s="92">
        <v>0</v>
      </c>
      <c r="C97" s="92">
        <v>0</v>
      </c>
      <c r="D97" s="92">
        <v>1.4029323590282673E-2</v>
      </c>
      <c r="E97" s="92">
        <v>5.6887500494984596E-2</v>
      </c>
      <c r="F97" s="92">
        <v>0.10779334490263828</v>
      </c>
      <c r="G97" s="92">
        <v>0.13577894078170138</v>
      </c>
      <c r="H97" s="92">
        <v>0.3415252664321618</v>
      </c>
      <c r="I97" s="92">
        <v>0.8588047315777767</v>
      </c>
      <c r="J97" s="92">
        <v>1.4664521247855087</v>
      </c>
      <c r="K97" s="92">
        <v>2.0930524340136842</v>
      </c>
      <c r="L97" s="92">
        <v>4.5634171446556868</v>
      </c>
      <c r="M97" s="92">
        <v>2.6060213211730545</v>
      </c>
      <c r="N97" s="92">
        <v>2.3910540819747106</v>
      </c>
      <c r="O97" s="92">
        <v>1.6471006455293893</v>
      </c>
      <c r="P97" s="92">
        <v>1.5245686157752203</v>
      </c>
      <c r="Q97" s="92">
        <v>2.0120906828990162</v>
      </c>
      <c r="R97" s="92">
        <v>1.8411847482734904</v>
      </c>
      <c r="S97" s="92">
        <v>1.4624970077910857</v>
      </c>
      <c r="T97" s="92">
        <v>1.243629230226927</v>
      </c>
      <c r="U97" s="92">
        <v>1.0870297458607447</v>
      </c>
      <c r="V97" s="92">
        <v>1.2285998528344459</v>
      </c>
      <c r="W97" s="92">
        <v>1.6462342942928521</v>
      </c>
      <c r="X97" s="92">
        <v>1.1864564760910994</v>
      </c>
      <c r="Y97" s="92">
        <v>0.9759679625485731</v>
      </c>
      <c r="Z97" s="92">
        <v>0.58457250600838462</v>
      </c>
      <c r="AA97" s="92">
        <v>0.45688573546394384</v>
      </c>
      <c r="AB97" s="92">
        <v>0.35265075083856134</v>
      </c>
      <c r="AC97" s="92">
        <v>0.2576211778418091</v>
      </c>
      <c r="AD97" s="92">
        <v>0.18681520033153698</v>
      </c>
      <c r="AE97" s="92">
        <v>0.13639708109204998</v>
      </c>
      <c r="AF97" s="92">
        <v>7.7225417255661913E-2</v>
      </c>
      <c r="AG97" s="92">
        <v>0.13409191229817896</v>
      </c>
      <c r="AH97" s="92">
        <v>0.11269593112789306</v>
      </c>
      <c r="AI97" s="338">
        <v>5.597428888238442E-2</v>
      </c>
      <c r="AJ97" s="338">
        <f t="shared" si="38"/>
        <v>2.798714444119221E-2</v>
      </c>
      <c r="AK97" s="338">
        <v>0</v>
      </c>
      <c r="AL97" s="338">
        <f t="shared" si="39"/>
        <v>0</v>
      </c>
      <c r="AM97" s="338">
        <f t="shared" si="40"/>
        <v>0</v>
      </c>
      <c r="AN97" s="338">
        <v>0</v>
      </c>
      <c r="AO97" s="338">
        <f t="shared" si="41"/>
        <v>0</v>
      </c>
      <c r="AP97" s="338">
        <v>0</v>
      </c>
    </row>
    <row r="98" spans="1:42">
      <c r="A98" s="100" t="s">
        <v>439</v>
      </c>
      <c r="B98" s="92">
        <v>1.9617879351458626E-4</v>
      </c>
      <c r="C98" s="92">
        <v>1.8477791240095225E-4</v>
      </c>
      <c r="D98" s="92">
        <v>2.0310116302233941E-4</v>
      </c>
      <c r="E98" s="92">
        <v>1.9381215166360353E-3</v>
      </c>
      <c r="F98" s="92">
        <v>1.8147693165245584E-3</v>
      </c>
      <c r="G98" s="92">
        <v>1.496522602019429E-3</v>
      </c>
      <c r="H98" s="92">
        <v>2.4044860128533737E-3</v>
      </c>
      <c r="I98" s="92">
        <v>2.3620266405752596E-3</v>
      </c>
      <c r="J98" s="92">
        <v>2.4021672294327764E-3</v>
      </c>
      <c r="K98" s="92">
        <v>1.8138936810654254E-3</v>
      </c>
      <c r="L98" s="92">
        <v>8.8713227409524566E-3</v>
      </c>
      <c r="M98" s="92">
        <v>3.8680680730110391E-2</v>
      </c>
      <c r="N98" s="92">
        <v>8.2905347715940894E-2</v>
      </c>
      <c r="O98" s="92">
        <v>6.8224160161708874E-2</v>
      </c>
      <c r="P98" s="92">
        <v>7.7519834042558827E-2</v>
      </c>
      <c r="Q98" s="92">
        <v>7.1816289052676563E-2</v>
      </c>
      <c r="R98" s="92">
        <v>8.9249122807162656E-2</v>
      </c>
      <c r="S98" s="92">
        <v>6.8457211295779336E-2</v>
      </c>
      <c r="T98" s="92">
        <v>7.8902342425634847E-2</v>
      </c>
      <c r="U98" s="92">
        <v>3.8047744686378997E-2</v>
      </c>
      <c r="V98" s="92">
        <v>3.765097738195166E-2</v>
      </c>
      <c r="W98" s="92">
        <v>0.11009998087372871</v>
      </c>
      <c r="X98" s="92">
        <v>0.10935727535175037</v>
      </c>
      <c r="Y98" s="92">
        <v>0.11038511086142501</v>
      </c>
      <c r="Z98" s="92">
        <v>5.4165842576477788E-2</v>
      </c>
      <c r="AA98" s="92">
        <v>4.9304273510434135E-2</v>
      </c>
      <c r="AB98" s="92">
        <v>3.1340179854987472E-2</v>
      </c>
      <c r="AC98" s="92">
        <v>1.9304898234537078E-2</v>
      </c>
      <c r="AD98" s="92">
        <v>1.4184150738018311E-2</v>
      </c>
      <c r="AE98" s="92">
        <v>1.2276326714567302E-2</v>
      </c>
      <c r="AF98" s="92">
        <v>8.9072820180805326E-3</v>
      </c>
      <c r="AG98" s="92">
        <v>1.751013725234199E-2</v>
      </c>
      <c r="AH98" s="92">
        <v>1.6487846717222483E-2</v>
      </c>
      <c r="AI98" s="338">
        <v>1.9062300505488464E-2</v>
      </c>
      <c r="AJ98" s="338">
        <f t="shared" si="38"/>
        <v>1.8475393076098669E-2</v>
      </c>
      <c r="AK98" s="338">
        <v>1.788848564670887E-2</v>
      </c>
      <c r="AL98" s="338">
        <f t="shared" si="39"/>
        <v>1.8035569258473355E-2</v>
      </c>
      <c r="AM98" s="338">
        <f t="shared" si="40"/>
        <v>1.8182652870237837E-2</v>
      </c>
      <c r="AN98" s="338">
        <v>1.8329736482002323E-2</v>
      </c>
      <c r="AO98" s="338">
        <f t="shared" si="41"/>
        <v>1.8575162742430169E-2</v>
      </c>
      <c r="AP98" s="338">
        <v>1.8820589002858015E-2</v>
      </c>
    </row>
    <row r="99" spans="1:42">
      <c r="A99" s="100" t="s">
        <v>440</v>
      </c>
      <c r="B99" s="92">
        <v>0</v>
      </c>
      <c r="C99" s="92">
        <v>0</v>
      </c>
      <c r="D99" s="92">
        <v>0</v>
      </c>
      <c r="E99" s="92">
        <v>0</v>
      </c>
      <c r="F99" s="92">
        <v>0</v>
      </c>
      <c r="G99" s="92">
        <v>0</v>
      </c>
      <c r="H99" s="92">
        <v>0</v>
      </c>
      <c r="I99" s="92">
        <v>0</v>
      </c>
      <c r="J99" s="92">
        <v>0</v>
      </c>
      <c r="K99" s="92">
        <v>0</v>
      </c>
      <c r="L99" s="92">
        <v>0</v>
      </c>
      <c r="M99" s="92">
        <v>0</v>
      </c>
      <c r="N99" s="92">
        <v>0</v>
      </c>
      <c r="O99" s="92">
        <v>0</v>
      </c>
      <c r="P99" s="92">
        <v>0</v>
      </c>
      <c r="Q99" s="92">
        <v>0</v>
      </c>
      <c r="R99" s="92">
        <v>0</v>
      </c>
      <c r="S99" s="92">
        <v>0</v>
      </c>
      <c r="T99" s="92">
        <v>0</v>
      </c>
      <c r="U99" s="92">
        <v>0</v>
      </c>
      <c r="V99" s="92">
        <v>0</v>
      </c>
      <c r="W99" s="92">
        <v>0</v>
      </c>
      <c r="X99" s="92">
        <v>0</v>
      </c>
      <c r="Y99" s="92">
        <v>0</v>
      </c>
      <c r="Z99" s="92">
        <v>0</v>
      </c>
      <c r="AA99" s="92">
        <v>0</v>
      </c>
      <c r="AB99" s="92">
        <v>0</v>
      </c>
      <c r="AC99" s="92">
        <v>0</v>
      </c>
      <c r="AD99" s="92">
        <v>0</v>
      </c>
      <c r="AE99" s="92">
        <v>0</v>
      </c>
      <c r="AF99" s="92">
        <v>0</v>
      </c>
      <c r="AG99" s="92">
        <v>0</v>
      </c>
      <c r="AH99" s="92">
        <v>0</v>
      </c>
      <c r="AI99" s="338">
        <v>0</v>
      </c>
      <c r="AJ99" s="338">
        <f t="shared" si="38"/>
        <v>0</v>
      </c>
      <c r="AK99" s="338">
        <v>0</v>
      </c>
      <c r="AL99" s="338">
        <f t="shared" si="39"/>
        <v>0</v>
      </c>
      <c r="AM99" s="338">
        <f t="shared" si="40"/>
        <v>0</v>
      </c>
      <c r="AN99" s="338">
        <v>0</v>
      </c>
      <c r="AO99" s="338">
        <f t="shared" si="41"/>
        <v>0</v>
      </c>
      <c r="AP99" s="338">
        <v>0</v>
      </c>
    </row>
    <row r="100" spans="1:42">
      <c r="A100" s="100" t="s">
        <v>441</v>
      </c>
      <c r="B100" s="92">
        <v>0</v>
      </c>
      <c r="C100" s="92">
        <v>0</v>
      </c>
      <c r="D100" s="92">
        <v>0</v>
      </c>
      <c r="E100" s="92">
        <v>0</v>
      </c>
      <c r="F100" s="92">
        <v>0.67388840803713423</v>
      </c>
      <c r="G100" s="92">
        <v>4.256374212249554</v>
      </c>
      <c r="H100" s="92">
        <v>10.662898207710688</v>
      </c>
      <c r="I100" s="92">
        <v>17.978394203268991</v>
      </c>
      <c r="J100" s="92">
        <v>25.657675254300525</v>
      </c>
      <c r="K100" s="92">
        <v>36.343114220067243</v>
      </c>
      <c r="L100" s="92">
        <v>44.130389579036745</v>
      </c>
      <c r="M100" s="92">
        <v>54.037641097215264</v>
      </c>
      <c r="N100" s="92">
        <v>66.677281593664532</v>
      </c>
      <c r="O100" s="92">
        <v>82.452484861809623</v>
      </c>
      <c r="P100" s="92">
        <v>93.978495297692291</v>
      </c>
      <c r="Q100" s="92">
        <v>106.22932599945736</v>
      </c>
      <c r="R100" s="92">
        <v>114.31033877437471</v>
      </c>
      <c r="S100" s="92">
        <v>120.23670799415396</v>
      </c>
      <c r="T100" s="92">
        <v>124.54139199274584</v>
      </c>
      <c r="U100" s="92">
        <v>132.06949951074265</v>
      </c>
      <c r="V100" s="92">
        <v>143.70104305647982</v>
      </c>
      <c r="W100" s="92">
        <v>151.23573129217158</v>
      </c>
      <c r="X100" s="92">
        <v>151.75084821945831</v>
      </c>
      <c r="Y100" s="92">
        <v>156.36773310572931</v>
      </c>
      <c r="Z100" s="92">
        <v>159.87940918923326</v>
      </c>
      <c r="AA100" s="92">
        <v>166.37256884939029</v>
      </c>
      <c r="AB100" s="92">
        <v>171.1777996423609</v>
      </c>
      <c r="AC100" s="92">
        <v>170.18643499152668</v>
      </c>
      <c r="AD100" s="92">
        <v>166.39691748210285</v>
      </c>
      <c r="AE100" s="92">
        <v>160.7950300908297</v>
      </c>
      <c r="AF100" s="92">
        <v>137.0893798803136</v>
      </c>
      <c r="AG100" s="92">
        <v>150.68163607147594</v>
      </c>
      <c r="AH100" s="92">
        <v>149.36494997689653</v>
      </c>
      <c r="AI100" s="338">
        <v>143.39919158543054</v>
      </c>
      <c r="AJ100" s="338">
        <f>AI100+(AK100-AI100)/2</f>
        <v>140.82459795542337</v>
      </c>
      <c r="AK100" s="338">
        <v>138.25000432541617</v>
      </c>
      <c r="AL100" s="338">
        <f>AK100+(AN100-AK100)/3</f>
        <v>134.45505770824983</v>
      </c>
      <c r="AM100" s="338">
        <f>AK100+(AN100-AK100)*2/3</f>
        <v>130.66011109108348</v>
      </c>
      <c r="AN100" s="338">
        <v>126.86516447391712</v>
      </c>
      <c r="AO100" s="338">
        <f>AN100+(AP100-AN100)/2</f>
        <v>122.87915667612046</v>
      </c>
      <c r="AP100" s="338">
        <v>118.89314887832381</v>
      </c>
    </row>
    <row r="101" spans="1:42">
      <c r="A101" s="100" t="s">
        <v>442</v>
      </c>
      <c r="B101" s="92">
        <v>94.680215774126609</v>
      </c>
      <c r="C101" s="92">
        <v>91.039048319513924</v>
      </c>
      <c r="D101" s="92">
        <v>82.388087207134461</v>
      </c>
      <c r="E101" s="92">
        <v>72.530047063721014</v>
      </c>
      <c r="F101" s="92">
        <v>69.032346758566575</v>
      </c>
      <c r="G101" s="92">
        <v>64.416585108572249</v>
      </c>
      <c r="H101" s="92">
        <v>76.417677149393626</v>
      </c>
      <c r="I101" s="92">
        <v>97.373537879122907</v>
      </c>
      <c r="J101" s="92">
        <v>115.58469918581081</v>
      </c>
      <c r="K101" s="92">
        <v>83.684725223742603</v>
      </c>
      <c r="L101" s="92">
        <v>77.659476526842525</v>
      </c>
      <c r="M101" s="92">
        <v>81.718940296840714</v>
      </c>
      <c r="N101" s="92">
        <v>80.84026098369813</v>
      </c>
      <c r="O101" s="92">
        <v>81.922980773327495</v>
      </c>
      <c r="P101" s="92">
        <v>88.561214097716714</v>
      </c>
      <c r="Q101" s="92">
        <v>84.055399409301032</v>
      </c>
      <c r="R101" s="92">
        <v>99.805338688042553</v>
      </c>
      <c r="S101" s="92">
        <v>105.90843294123852</v>
      </c>
      <c r="T101" s="92">
        <v>88.813005351114526</v>
      </c>
      <c r="U101" s="92">
        <v>71.665223308739016</v>
      </c>
      <c r="V101" s="92">
        <v>59.548485666485483</v>
      </c>
      <c r="W101" s="92">
        <v>47.813525265856427</v>
      </c>
      <c r="X101" s="92">
        <v>45.922269324006336</v>
      </c>
      <c r="Y101" s="92">
        <v>40.959734824944427</v>
      </c>
      <c r="Z101" s="92">
        <v>31.774974107800329</v>
      </c>
      <c r="AA101" s="92">
        <v>31.144793478076977</v>
      </c>
      <c r="AB101" s="92">
        <v>21.968045308221026</v>
      </c>
      <c r="AC101" s="92">
        <v>19.812837226343539</v>
      </c>
      <c r="AD101" s="92">
        <v>13.838369756563209</v>
      </c>
      <c r="AE101" s="92">
        <v>11.025649445820774</v>
      </c>
      <c r="AF101" s="92">
        <v>7.9102220248895305</v>
      </c>
      <c r="AG101" s="92">
        <v>8.83524384100925</v>
      </c>
      <c r="AH101" s="92">
        <v>9.2465903130603184</v>
      </c>
      <c r="AI101" s="338">
        <v>15.894591871986336</v>
      </c>
      <c r="AJ101" s="338">
        <f t="shared" ref="AJ101:AJ107" si="42">AI101+(AK101-AI101)/2</f>
        <v>19.115059643713732</v>
      </c>
      <c r="AK101" s="338">
        <v>22.335527415441128</v>
      </c>
      <c r="AL101" s="338">
        <f t="shared" ref="AL101:AL106" si="43">AK101+(AN101-AK101)/3</f>
        <v>22.68722973380045</v>
      </c>
      <c r="AM101" s="338">
        <f t="shared" ref="AM101:AM106" si="44">AK101+(AN101-AK101)*2/3</f>
        <v>23.038932052159776</v>
      </c>
      <c r="AN101" s="338">
        <v>23.390634370519098</v>
      </c>
      <c r="AO101" s="338">
        <f t="shared" ref="AO101:AO107" si="45">AN101+(AP101-AN101)/2</f>
        <v>23.78997248511002</v>
      </c>
      <c r="AP101" s="338">
        <v>24.189310599700946</v>
      </c>
    </row>
    <row r="102" spans="1:42">
      <c r="A102" s="100" t="s">
        <v>443</v>
      </c>
      <c r="B102" s="92">
        <v>0</v>
      </c>
      <c r="C102" s="92">
        <v>0</v>
      </c>
      <c r="D102" s="92">
        <v>0</v>
      </c>
      <c r="E102" s="92">
        <v>0</v>
      </c>
      <c r="F102" s="92">
        <v>6.5077015559162187E-3</v>
      </c>
      <c r="G102" s="92">
        <v>3.4863248768725076E-2</v>
      </c>
      <c r="H102" s="92">
        <v>0.16399103246686547</v>
      </c>
      <c r="I102" s="92">
        <v>0.55442253308461986</v>
      </c>
      <c r="J102" s="92">
        <v>1.2449611075802709</v>
      </c>
      <c r="K102" s="92">
        <v>1.8867138576132503</v>
      </c>
      <c r="L102" s="92">
        <v>1.3397027331897191</v>
      </c>
      <c r="M102" s="92">
        <v>2.1927522587575234</v>
      </c>
      <c r="N102" s="92">
        <v>1.9669448171216821</v>
      </c>
      <c r="O102" s="92">
        <v>2.0347752096605927</v>
      </c>
      <c r="P102" s="92">
        <v>2.0686708302268126</v>
      </c>
      <c r="Q102" s="92">
        <v>1.9231342542134524</v>
      </c>
      <c r="R102" s="92">
        <v>2.1403249949865861</v>
      </c>
      <c r="S102" s="92">
        <v>2.3834168890887777</v>
      </c>
      <c r="T102" s="92">
        <v>2.6025450438906894</v>
      </c>
      <c r="U102" s="92">
        <v>2.3808610499433152</v>
      </c>
      <c r="V102" s="92">
        <v>2.6101986864199125</v>
      </c>
      <c r="W102" s="92">
        <v>2.2916864546976758</v>
      </c>
      <c r="X102" s="92">
        <v>2.3011054557218955</v>
      </c>
      <c r="Y102" s="92">
        <v>2.0002282641341478</v>
      </c>
      <c r="Z102" s="92">
        <v>1.8942753644227894</v>
      </c>
      <c r="AA102" s="92">
        <v>1.5588472927702024</v>
      </c>
      <c r="AB102" s="92">
        <v>1.2045779887351202</v>
      </c>
      <c r="AC102" s="92">
        <v>0.88702913835402553</v>
      </c>
      <c r="AD102" s="92">
        <v>0.62225991432774164</v>
      </c>
      <c r="AE102" s="92">
        <v>0.42741927711408689</v>
      </c>
      <c r="AF102" s="92">
        <v>0.23096254687478815</v>
      </c>
      <c r="AG102" s="92">
        <v>0.24582794765131474</v>
      </c>
      <c r="AH102" s="92">
        <v>0.20217295279741954</v>
      </c>
      <c r="AI102" s="338">
        <v>0.10203164940228046</v>
      </c>
      <c r="AJ102" s="338">
        <f t="shared" si="42"/>
        <v>5.101582470114023E-2</v>
      </c>
      <c r="AK102" s="338">
        <v>0</v>
      </c>
      <c r="AL102" s="338">
        <f t="shared" si="43"/>
        <v>0</v>
      </c>
      <c r="AM102" s="338">
        <f t="shared" si="44"/>
        <v>0</v>
      </c>
      <c r="AN102" s="338">
        <v>0</v>
      </c>
      <c r="AO102" s="338">
        <f t="shared" si="45"/>
        <v>0</v>
      </c>
      <c r="AP102" s="338">
        <v>0</v>
      </c>
    </row>
    <row r="103" spans="1:42">
      <c r="A103" s="100" t="s">
        <v>444</v>
      </c>
      <c r="B103" s="92">
        <v>7.3255177939633167E-4</v>
      </c>
      <c r="C103" s="92">
        <v>8.6806450062860616E-4</v>
      </c>
      <c r="D103" s="92">
        <v>8.469650120216585E-4</v>
      </c>
      <c r="E103" s="92">
        <v>5.7734136071172079E-3</v>
      </c>
      <c r="F103" s="92">
        <v>3.3772944651452811E-3</v>
      </c>
      <c r="G103" s="92">
        <v>2.1060656475742731E-3</v>
      </c>
      <c r="H103" s="92">
        <v>2.8831497123178508E-3</v>
      </c>
      <c r="I103" s="92">
        <v>2.9799281922909268E-3</v>
      </c>
      <c r="J103" s="92">
        <v>3.9242339384398762E-3</v>
      </c>
      <c r="K103" s="92">
        <v>1.8362554647343256E-3</v>
      </c>
      <c r="L103" s="92">
        <v>2.6801520294957868E-3</v>
      </c>
      <c r="M103" s="92">
        <v>3.284978609260919E-2</v>
      </c>
      <c r="N103" s="92">
        <v>6.7764697157475934E-2</v>
      </c>
      <c r="O103" s="92">
        <v>8.0731403767609788E-2</v>
      </c>
      <c r="P103" s="92">
        <v>9.4178142017619287E-2</v>
      </c>
      <c r="Q103" s="92">
        <v>0.11713954043374257</v>
      </c>
      <c r="R103" s="92">
        <v>0.16379988173337506</v>
      </c>
      <c r="S103" s="92">
        <v>0.16246514455408342</v>
      </c>
      <c r="T103" s="92">
        <v>0.22863445571507768</v>
      </c>
      <c r="U103" s="92">
        <v>0.14996352335358618</v>
      </c>
      <c r="V103" s="92">
        <v>0.14082000528444416</v>
      </c>
      <c r="W103" s="92">
        <v>0.27766937271561815</v>
      </c>
      <c r="X103" s="92">
        <v>0.36340846961259082</v>
      </c>
      <c r="Y103" s="92">
        <v>0.37655866355140344</v>
      </c>
      <c r="Z103" s="92">
        <v>0.28677706121158952</v>
      </c>
      <c r="AA103" s="92">
        <v>0.26763625325308305</v>
      </c>
      <c r="AB103" s="92">
        <v>0.16537535841371281</v>
      </c>
      <c r="AC103" s="92">
        <v>0.10133582872275931</v>
      </c>
      <c r="AD103" s="92">
        <v>6.9804009653761601E-2</v>
      </c>
      <c r="AE103" s="92">
        <v>5.7106949889208121E-2</v>
      </c>
      <c r="AF103" s="92">
        <v>3.9224359909102009E-2</v>
      </c>
      <c r="AG103" s="92">
        <v>4.560784586431927E-2</v>
      </c>
      <c r="AH103" s="92">
        <v>4.0537683998652346E-2</v>
      </c>
      <c r="AI103" s="338">
        <v>3.3469547605981073E-2</v>
      </c>
      <c r="AJ103" s="338">
        <f t="shared" si="42"/>
        <v>3.2330338014789559E-2</v>
      </c>
      <c r="AK103" s="338">
        <v>3.1191128423598044E-2</v>
      </c>
      <c r="AL103" s="338">
        <f t="shared" si="43"/>
        <v>3.1248588132345965E-2</v>
      </c>
      <c r="AM103" s="338">
        <f t="shared" si="44"/>
        <v>3.1306047841093886E-2</v>
      </c>
      <c r="AN103" s="338">
        <v>3.136350754984181E-2</v>
      </c>
      <c r="AO103" s="338">
        <f t="shared" si="45"/>
        <v>3.1876422697809825E-2</v>
      </c>
      <c r="AP103" s="338">
        <v>3.2389337845777834E-2</v>
      </c>
    </row>
    <row r="104" spans="1:42">
      <c r="A104" s="100" t="s">
        <v>445</v>
      </c>
      <c r="B104" s="92">
        <v>0</v>
      </c>
      <c r="C104" s="92">
        <v>0</v>
      </c>
      <c r="D104" s="92">
        <v>0</v>
      </c>
      <c r="E104" s="92">
        <v>0</v>
      </c>
      <c r="F104" s="92">
        <v>0</v>
      </c>
      <c r="G104" s="92">
        <v>0</v>
      </c>
      <c r="H104" s="92">
        <v>0</v>
      </c>
      <c r="I104" s="92">
        <v>0</v>
      </c>
      <c r="J104" s="92">
        <v>0</v>
      </c>
      <c r="K104" s="92">
        <v>0</v>
      </c>
      <c r="L104" s="92">
        <v>0</v>
      </c>
      <c r="M104" s="92">
        <v>0</v>
      </c>
      <c r="N104" s="92">
        <v>0</v>
      </c>
      <c r="O104" s="92">
        <v>0</v>
      </c>
      <c r="P104" s="92">
        <v>0</v>
      </c>
      <c r="Q104" s="92">
        <v>0</v>
      </c>
      <c r="R104" s="92">
        <v>0</v>
      </c>
      <c r="S104" s="92">
        <v>0</v>
      </c>
      <c r="T104" s="92">
        <v>0</v>
      </c>
      <c r="U104" s="92">
        <v>0</v>
      </c>
      <c r="V104" s="92">
        <v>0</v>
      </c>
      <c r="W104" s="92">
        <v>0</v>
      </c>
      <c r="X104" s="92">
        <v>0</v>
      </c>
      <c r="Y104" s="92">
        <v>0</v>
      </c>
      <c r="Z104" s="92">
        <v>0</v>
      </c>
      <c r="AA104" s="92">
        <v>0</v>
      </c>
      <c r="AB104" s="92">
        <v>0</v>
      </c>
      <c r="AC104" s="92">
        <v>0</v>
      </c>
      <c r="AD104" s="92">
        <v>0</v>
      </c>
      <c r="AE104" s="92">
        <v>0</v>
      </c>
      <c r="AF104" s="92">
        <v>0</v>
      </c>
      <c r="AG104" s="92">
        <v>0</v>
      </c>
      <c r="AH104" s="92">
        <v>0</v>
      </c>
      <c r="AI104" s="338">
        <v>0</v>
      </c>
      <c r="AJ104" s="338">
        <f t="shared" si="42"/>
        <v>0</v>
      </c>
      <c r="AK104" s="338">
        <v>0</v>
      </c>
      <c r="AL104" s="338">
        <f t="shared" si="43"/>
        <v>0</v>
      </c>
      <c r="AM104" s="338">
        <f t="shared" si="44"/>
        <v>0</v>
      </c>
      <c r="AN104" s="338">
        <v>0</v>
      </c>
      <c r="AO104" s="338">
        <f t="shared" si="45"/>
        <v>0</v>
      </c>
      <c r="AP104" s="338">
        <v>0</v>
      </c>
    </row>
    <row r="105" spans="1:42" ht="36">
      <c r="A105" s="100" t="s">
        <v>446</v>
      </c>
      <c r="B105" s="92">
        <v>187.26081111810373</v>
      </c>
      <c r="C105" s="92">
        <v>192.24822719510308</v>
      </c>
      <c r="D105" s="92">
        <v>202.2593715648801</v>
      </c>
      <c r="E105" s="92">
        <v>197.91677475710406</v>
      </c>
      <c r="F105" s="92">
        <v>195.58411997267575</v>
      </c>
      <c r="G105" s="92">
        <v>182.80050376172551</v>
      </c>
      <c r="H105" s="92">
        <v>169.7822462033636</v>
      </c>
      <c r="I105" s="92">
        <v>163.36376122252508</v>
      </c>
      <c r="J105" s="92">
        <v>155.32387137415569</v>
      </c>
      <c r="K105" s="92">
        <v>148.99956926959669</v>
      </c>
      <c r="L105" s="92">
        <v>135.49664192852944</v>
      </c>
      <c r="M105" s="92">
        <v>122.60029613368276</v>
      </c>
      <c r="N105" s="92">
        <v>113.77438004441127</v>
      </c>
      <c r="O105" s="92">
        <v>98.045398134989938</v>
      </c>
      <c r="P105" s="92">
        <v>90.376482439351918</v>
      </c>
      <c r="Q105" s="92">
        <v>77.167958389639466</v>
      </c>
      <c r="R105" s="92">
        <v>74.609398526346681</v>
      </c>
      <c r="S105" s="92">
        <v>77.848528701191327</v>
      </c>
      <c r="T105" s="92">
        <v>79.577609080993341</v>
      </c>
      <c r="U105" s="92">
        <v>83.626464045278624</v>
      </c>
      <c r="V105" s="92">
        <v>103.13310302952441</v>
      </c>
      <c r="W105" s="92">
        <v>132.97073295795661</v>
      </c>
      <c r="X105" s="92">
        <v>158.52081216930927</v>
      </c>
      <c r="Y105" s="92">
        <v>184.09581063131554</v>
      </c>
      <c r="Z105" s="92">
        <v>217.07713343694974</v>
      </c>
      <c r="AA105" s="92">
        <v>228.57550910258777</v>
      </c>
      <c r="AB105" s="92">
        <v>247.79805784553182</v>
      </c>
      <c r="AC105" s="92">
        <v>261.4873189531516</v>
      </c>
      <c r="AD105" s="92">
        <v>256.48625754202646</v>
      </c>
      <c r="AE105" s="92">
        <v>260.94505897879213</v>
      </c>
      <c r="AF105" s="92">
        <v>246.32706046328622</v>
      </c>
      <c r="AG105" s="92">
        <v>283.90695361978919</v>
      </c>
      <c r="AH105" s="92">
        <v>285.0563947677079</v>
      </c>
      <c r="AI105" s="348">
        <v>293.88121528701248</v>
      </c>
      <c r="AJ105" s="338">
        <f t="shared" si="42"/>
        <v>290.28604323068987</v>
      </c>
      <c r="AK105" s="348">
        <v>286.69087117436732</v>
      </c>
      <c r="AL105" s="338">
        <f t="shared" si="43"/>
        <v>276.58236429463568</v>
      </c>
      <c r="AM105" s="338">
        <f t="shared" si="44"/>
        <v>266.4738574149041</v>
      </c>
      <c r="AN105" s="348">
        <v>256.36535053517247</v>
      </c>
      <c r="AO105" s="338">
        <f t="shared" si="45"/>
        <v>244.8022157745292</v>
      </c>
      <c r="AP105" s="348">
        <v>233.23908101388591</v>
      </c>
    </row>
    <row r="106" spans="1:42" ht="36">
      <c r="A106" s="100" t="s">
        <v>447</v>
      </c>
      <c r="B106" s="92">
        <v>0</v>
      </c>
      <c r="C106" s="92">
        <v>0</v>
      </c>
      <c r="D106" s="92">
        <v>0</v>
      </c>
      <c r="E106" s="92">
        <v>0</v>
      </c>
      <c r="F106" s="92">
        <v>0</v>
      </c>
      <c r="G106" s="92">
        <v>0</v>
      </c>
      <c r="H106" s="92">
        <v>0</v>
      </c>
      <c r="I106" s="92">
        <v>0</v>
      </c>
      <c r="J106" s="92">
        <v>0</v>
      </c>
      <c r="K106" s="92">
        <v>0</v>
      </c>
      <c r="L106" s="92">
        <v>0</v>
      </c>
      <c r="M106" s="92">
        <v>0</v>
      </c>
      <c r="N106" s="92">
        <v>0</v>
      </c>
      <c r="O106" s="92">
        <v>0</v>
      </c>
      <c r="P106" s="92">
        <v>0</v>
      </c>
      <c r="Q106" s="92">
        <v>0</v>
      </c>
      <c r="R106" s="92">
        <v>0</v>
      </c>
      <c r="S106" s="92">
        <v>0</v>
      </c>
      <c r="T106" s="92">
        <v>0</v>
      </c>
      <c r="U106" s="92">
        <v>0</v>
      </c>
      <c r="V106" s="92">
        <v>0</v>
      </c>
      <c r="W106" s="92">
        <v>0</v>
      </c>
      <c r="X106" s="92">
        <v>0</v>
      </c>
      <c r="Y106" s="92">
        <v>0</v>
      </c>
      <c r="Z106" s="92">
        <v>0</v>
      </c>
      <c r="AA106" s="92">
        <v>0</v>
      </c>
      <c r="AB106" s="92">
        <v>0</v>
      </c>
      <c r="AC106" s="92">
        <v>0</v>
      </c>
      <c r="AD106" s="92">
        <v>0</v>
      </c>
      <c r="AE106" s="92">
        <v>0</v>
      </c>
      <c r="AF106" s="92">
        <v>0</v>
      </c>
      <c r="AG106" s="92">
        <v>0</v>
      </c>
      <c r="AH106" s="92">
        <v>0</v>
      </c>
      <c r="AI106" s="338">
        <v>2.1090761994240147E-3</v>
      </c>
      <c r="AJ106" s="338">
        <f t="shared" si="42"/>
        <v>2.3037216305194768E-3</v>
      </c>
      <c r="AK106" s="338">
        <v>2.4983670616149389E-3</v>
      </c>
      <c r="AL106" s="338">
        <f t="shared" si="43"/>
        <v>2.4747421322716423E-3</v>
      </c>
      <c r="AM106" s="338">
        <f t="shared" si="44"/>
        <v>2.4511172029283456E-3</v>
      </c>
      <c r="AN106" s="338">
        <v>2.427492273585049E-3</v>
      </c>
      <c r="AO106" s="338">
        <f t="shared" si="45"/>
        <v>2.3962450699193368E-3</v>
      </c>
      <c r="AP106" s="338">
        <v>2.3649978662536241E-3</v>
      </c>
    </row>
    <row r="107" spans="1:42" ht="36">
      <c r="A107" s="100" t="s">
        <v>448</v>
      </c>
      <c r="B107" s="92">
        <v>0</v>
      </c>
      <c r="C107" s="92">
        <v>0</v>
      </c>
      <c r="D107" s="92">
        <v>0</v>
      </c>
      <c r="E107" s="92">
        <v>0</v>
      </c>
      <c r="F107" s="92">
        <v>0</v>
      </c>
      <c r="G107" s="92">
        <v>0</v>
      </c>
      <c r="H107" s="92">
        <v>0</v>
      </c>
      <c r="I107" s="92">
        <v>0</v>
      </c>
      <c r="J107" s="92">
        <v>0</v>
      </c>
      <c r="K107" s="92">
        <v>0</v>
      </c>
      <c r="L107" s="92">
        <v>0</v>
      </c>
      <c r="M107" s="92">
        <v>0</v>
      </c>
      <c r="N107" s="92">
        <v>0</v>
      </c>
      <c r="O107" s="92">
        <v>0</v>
      </c>
      <c r="P107" s="92">
        <v>0</v>
      </c>
      <c r="Q107" s="92">
        <v>0</v>
      </c>
      <c r="R107" s="92">
        <v>0</v>
      </c>
      <c r="S107" s="92">
        <v>0</v>
      </c>
      <c r="T107" s="92">
        <v>0</v>
      </c>
      <c r="U107" s="92">
        <v>0</v>
      </c>
      <c r="V107" s="92">
        <v>0</v>
      </c>
      <c r="W107" s="92">
        <v>0</v>
      </c>
      <c r="X107" s="92">
        <v>0</v>
      </c>
      <c r="Y107" s="92">
        <v>0</v>
      </c>
      <c r="Z107" s="92">
        <v>0</v>
      </c>
      <c r="AA107" s="92">
        <v>0</v>
      </c>
      <c r="AB107" s="92">
        <v>0</v>
      </c>
      <c r="AC107" s="92">
        <v>0</v>
      </c>
      <c r="AD107" s="92">
        <v>0</v>
      </c>
      <c r="AE107" s="92">
        <v>0</v>
      </c>
      <c r="AF107" s="92">
        <v>0</v>
      </c>
      <c r="AG107" s="92">
        <v>0</v>
      </c>
      <c r="AH107" s="92">
        <v>0</v>
      </c>
      <c r="AI107" s="201">
        <v>0</v>
      </c>
      <c r="AJ107" s="338">
        <f t="shared" si="42"/>
        <v>0</v>
      </c>
      <c r="AK107" s="201">
        <v>0</v>
      </c>
      <c r="AL107" s="338">
        <f t="shared" ref="AL107" si="46">AK107+(AN107-AK107)/3</f>
        <v>0</v>
      </c>
      <c r="AM107" s="338">
        <f t="shared" ref="AM107" si="47">AK107+(AN107-AK107)*2/3</f>
        <v>0</v>
      </c>
      <c r="AN107" s="201">
        <v>0</v>
      </c>
      <c r="AO107" s="338">
        <f t="shared" si="45"/>
        <v>0</v>
      </c>
      <c r="AP107" s="201">
        <v>0</v>
      </c>
    </row>
    <row r="108" spans="1:42" ht="36">
      <c r="A108" s="100" t="s">
        <v>449</v>
      </c>
      <c r="B108" s="92">
        <v>0</v>
      </c>
      <c r="C108" s="92">
        <v>0</v>
      </c>
      <c r="D108" s="92">
        <v>0</v>
      </c>
      <c r="E108" s="92">
        <v>0</v>
      </c>
      <c r="F108" s="92">
        <v>0</v>
      </c>
      <c r="G108" s="92">
        <v>0</v>
      </c>
      <c r="H108" s="92">
        <v>0</v>
      </c>
      <c r="I108" s="92">
        <v>0</v>
      </c>
      <c r="J108" s="92">
        <v>0</v>
      </c>
      <c r="K108" s="92">
        <v>0</v>
      </c>
      <c r="L108" s="92">
        <v>0</v>
      </c>
      <c r="M108" s="92">
        <v>0</v>
      </c>
      <c r="N108" s="92">
        <v>0</v>
      </c>
      <c r="O108" s="92">
        <v>0</v>
      </c>
      <c r="P108" s="92">
        <v>0</v>
      </c>
      <c r="Q108" s="92">
        <v>0</v>
      </c>
      <c r="R108" s="92">
        <v>0</v>
      </c>
      <c r="S108" s="92">
        <v>0</v>
      </c>
      <c r="T108" s="92">
        <v>0</v>
      </c>
      <c r="U108" s="92">
        <v>0</v>
      </c>
      <c r="V108" s="92">
        <v>0</v>
      </c>
      <c r="W108" s="92">
        <v>0</v>
      </c>
      <c r="X108" s="92">
        <v>0</v>
      </c>
      <c r="Y108" s="92">
        <v>0</v>
      </c>
      <c r="Z108" s="92">
        <v>0</v>
      </c>
      <c r="AA108" s="92">
        <v>0</v>
      </c>
      <c r="AB108" s="92">
        <v>0</v>
      </c>
      <c r="AC108" s="92">
        <v>0</v>
      </c>
      <c r="AD108" s="92">
        <v>0</v>
      </c>
      <c r="AE108" s="92">
        <v>0</v>
      </c>
      <c r="AF108" s="92">
        <v>0</v>
      </c>
      <c r="AG108" s="92">
        <v>0</v>
      </c>
      <c r="AH108" s="92">
        <v>0</v>
      </c>
      <c r="AI108" s="92">
        <v>0</v>
      </c>
      <c r="AJ108" s="92">
        <v>0</v>
      </c>
      <c r="AK108" s="92">
        <v>0</v>
      </c>
      <c r="AL108" s="92">
        <v>0</v>
      </c>
      <c r="AM108" s="92">
        <v>0</v>
      </c>
      <c r="AN108" s="92">
        <v>0</v>
      </c>
      <c r="AO108" s="92">
        <v>0</v>
      </c>
      <c r="AP108" s="92">
        <v>0</v>
      </c>
    </row>
    <row r="109" spans="1:42" ht="24">
      <c r="A109" s="100" t="s">
        <v>450</v>
      </c>
      <c r="B109" s="92">
        <v>16.838139049746705</v>
      </c>
      <c r="C109" s="92">
        <v>18.3098257532451</v>
      </c>
      <c r="D109" s="92">
        <v>18.70081465863074</v>
      </c>
      <c r="E109" s="92">
        <v>19.334239664284496</v>
      </c>
      <c r="F109" s="92">
        <v>18.493317920119946</v>
      </c>
      <c r="G109" s="92">
        <v>17.454953631788644</v>
      </c>
      <c r="H109" s="92">
        <v>17.144130893519762</v>
      </c>
      <c r="I109" s="92">
        <v>16.316185704440358</v>
      </c>
      <c r="J109" s="92">
        <v>16.032720348172564</v>
      </c>
      <c r="K109" s="92">
        <v>14.56083390797901</v>
      </c>
      <c r="L109" s="92">
        <v>14.292313248236459</v>
      </c>
      <c r="M109" s="92">
        <v>13.019964785937253</v>
      </c>
      <c r="N109" s="92">
        <v>11.792197046196138</v>
      </c>
      <c r="O109" s="92">
        <v>10.815744902205095</v>
      </c>
      <c r="P109" s="92">
        <v>9.79565493497965</v>
      </c>
      <c r="Q109" s="92">
        <v>8.8338125987574561</v>
      </c>
      <c r="R109" s="92">
        <v>8.1070037705970766</v>
      </c>
      <c r="S109" s="92">
        <v>8.0575287784986447</v>
      </c>
      <c r="T109" s="92">
        <v>8.1055716880535087</v>
      </c>
      <c r="U109" s="92">
        <v>8.5901885258558028</v>
      </c>
      <c r="V109" s="92">
        <v>9.8334831356331964</v>
      </c>
      <c r="W109" s="92">
        <v>12.126299485078009</v>
      </c>
      <c r="X109" s="92">
        <v>14.074242967122585</v>
      </c>
      <c r="Y109" s="92">
        <v>16.143291146033185</v>
      </c>
      <c r="Z109" s="92">
        <v>17.769732258061886</v>
      </c>
      <c r="AA109" s="92">
        <v>19.710743806334321</v>
      </c>
      <c r="AB109" s="92">
        <v>21.471043580514447</v>
      </c>
      <c r="AC109" s="92">
        <v>22.365425118732034</v>
      </c>
      <c r="AD109" s="92">
        <v>22.727766647011592</v>
      </c>
      <c r="AE109" s="203">
        <v>23.363353385109576</v>
      </c>
      <c r="AF109" s="92">
        <v>17.20458764228524</v>
      </c>
      <c r="AG109" s="92">
        <v>19.728924646881016</v>
      </c>
      <c r="AH109" s="92">
        <v>22.147822338039969</v>
      </c>
      <c r="AI109" s="440" t="s">
        <v>482</v>
      </c>
      <c r="AJ109" s="441"/>
      <c r="AK109" s="441"/>
      <c r="AL109" s="441"/>
      <c r="AM109" s="441"/>
      <c r="AN109" s="441"/>
      <c r="AO109" s="441"/>
      <c r="AP109" s="442"/>
    </row>
    <row r="110" spans="1:42" ht="24">
      <c r="A110" s="100" t="s">
        <v>451</v>
      </c>
      <c r="B110" s="92">
        <v>8.2172833942238763E-3</v>
      </c>
      <c r="C110" s="92">
        <v>8.2550321801005029E-3</v>
      </c>
      <c r="D110" s="92">
        <v>8.2606137221312419E-3</v>
      </c>
      <c r="E110" s="92">
        <v>8.2746982387444153E-3</v>
      </c>
      <c r="F110" s="92">
        <v>8.8069229877036064E-3</v>
      </c>
      <c r="G110" s="92">
        <v>8.8670892438293507E-3</v>
      </c>
      <c r="H110" s="92">
        <v>8.6723821490697992E-3</v>
      </c>
      <c r="I110" s="92">
        <v>8.7666888407082113E-3</v>
      </c>
      <c r="J110" s="92">
        <v>9.3680548405219027E-3</v>
      </c>
      <c r="K110" s="92">
        <v>1.1668943766295247E-2</v>
      </c>
      <c r="L110" s="92">
        <v>1.3807937000626342E-2</v>
      </c>
      <c r="M110" s="92">
        <v>1.4554275088554875E-2</v>
      </c>
      <c r="N110" s="92">
        <v>1.3451416605597979E-2</v>
      </c>
      <c r="O110" s="92">
        <v>1.2757491987611752E-2</v>
      </c>
      <c r="P110" s="92">
        <v>1.1333479895385558E-2</v>
      </c>
      <c r="Q110" s="92">
        <v>9.9033013199925635E-3</v>
      </c>
      <c r="R110" s="92">
        <v>1.046557121330082E-2</v>
      </c>
      <c r="S110" s="92">
        <v>1.0116904952680002E-2</v>
      </c>
      <c r="T110" s="92">
        <v>8.6384751176486682E-3</v>
      </c>
      <c r="U110" s="92">
        <v>8.3544710771851789E-3</v>
      </c>
      <c r="V110" s="92">
        <v>7.0629388947100764E-3</v>
      </c>
      <c r="W110" s="92">
        <v>5.8285657553686808E-3</v>
      </c>
      <c r="X110" s="92">
        <v>5.5007377755141697E-3</v>
      </c>
      <c r="Y110" s="92">
        <v>5.653414477263796E-3</v>
      </c>
      <c r="Z110" s="92">
        <v>4.9287190114125972E-3</v>
      </c>
      <c r="AA110" s="92">
        <v>5.6242770448657296E-3</v>
      </c>
      <c r="AB110" s="92">
        <v>5.581120714173173E-3</v>
      </c>
      <c r="AC110" s="92">
        <v>5.595093449546E-3</v>
      </c>
      <c r="AD110" s="92">
        <v>5.8827417987930963E-3</v>
      </c>
      <c r="AE110" s="92">
        <v>3.7904688825663854E-3</v>
      </c>
      <c r="AF110" s="92">
        <v>4.245752863428676E-3</v>
      </c>
      <c r="AG110" s="92">
        <v>4.5431572659188398E-3</v>
      </c>
      <c r="AH110" s="92">
        <v>4.9942034242100282E-3</v>
      </c>
      <c r="AI110" s="440" t="s">
        <v>482</v>
      </c>
      <c r="AJ110" s="441"/>
      <c r="AK110" s="441"/>
      <c r="AL110" s="441"/>
      <c r="AM110" s="441"/>
      <c r="AN110" s="441"/>
      <c r="AO110" s="441"/>
      <c r="AP110" s="442"/>
    </row>
    <row r="111" spans="1:42">
      <c r="A111" s="100" t="s">
        <v>452</v>
      </c>
      <c r="B111" s="92">
        <v>0</v>
      </c>
      <c r="C111" s="92">
        <v>0</v>
      </c>
      <c r="D111" s="92">
        <v>0</v>
      </c>
      <c r="E111" s="92">
        <v>0</v>
      </c>
      <c r="F111" s="92">
        <v>0</v>
      </c>
      <c r="G111" s="92">
        <v>0</v>
      </c>
      <c r="H111" s="92">
        <v>0</v>
      </c>
      <c r="I111" s="92">
        <v>0</v>
      </c>
      <c r="J111" s="92">
        <v>0</v>
      </c>
      <c r="K111" s="92">
        <v>0</v>
      </c>
      <c r="L111" s="92">
        <v>0</v>
      </c>
      <c r="M111" s="92">
        <v>0</v>
      </c>
      <c r="N111" s="92">
        <v>0</v>
      </c>
      <c r="O111" s="92">
        <v>0</v>
      </c>
      <c r="P111" s="92">
        <v>0</v>
      </c>
      <c r="Q111" s="92">
        <v>0</v>
      </c>
      <c r="R111" s="92">
        <v>0</v>
      </c>
      <c r="S111" s="92">
        <v>0</v>
      </c>
      <c r="T111" s="92">
        <v>0</v>
      </c>
      <c r="U111" s="92">
        <v>0</v>
      </c>
      <c r="V111" s="92">
        <v>0</v>
      </c>
      <c r="W111" s="92">
        <v>0</v>
      </c>
      <c r="X111" s="92">
        <v>0</v>
      </c>
      <c r="Y111" s="92">
        <v>0</v>
      </c>
      <c r="Z111" s="92">
        <v>0</v>
      </c>
      <c r="AA111" s="92">
        <v>0</v>
      </c>
      <c r="AB111" s="92">
        <v>0</v>
      </c>
      <c r="AC111" s="92">
        <v>0</v>
      </c>
      <c r="AD111" s="92">
        <v>0</v>
      </c>
      <c r="AE111" s="92">
        <v>0</v>
      </c>
      <c r="AF111" s="92">
        <v>0</v>
      </c>
      <c r="AG111" s="92">
        <v>0</v>
      </c>
      <c r="AH111" s="92">
        <v>0</v>
      </c>
      <c r="AI111" s="440" t="s">
        <v>482</v>
      </c>
      <c r="AJ111" s="441"/>
      <c r="AK111" s="441"/>
      <c r="AL111" s="441"/>
      <c r="AM111" s="441"/>
      <c r="AN111" s="441"/>
      <c r="AO111" s="441"/>
      <c r="AP111" s="442"/>
    </row>
    <row r="112" spans="1:42" ht="24">
      <c r="A112" s="100" t="s">
        <v>453</v>
      </c>
      <c r="B112" s="92">
        <v>0</v>
      </c>
      <c r="C112" s="92">
        <v>0</v>
      </c>
      <c r="D112" s="92">
        <v>0</v>
      </c>
      <c r="E112" s="92">
        <v>0</v>
      </c>
      <c r="F112" s="92">
        <v>0</v>
      </c>
      <c r="G112" s="92">
        <v>0</v>
      </c>
      <c r="H112" s="92">
        <v>0</v>
      </c>
      <c r="I112" s="92">
        <v>0</v>
      </c>
      <c r="J112" s="92">
        <v>0</v>
      </c>
      <c r="K112" s="92">
        <v>0</v>
      </c>
      <c r="L112" s="92">
        <v>0</v>
      </c>
      <c r="M112" s="92">
        <v>0</v>
      </c>
      <c r="N112" s="92">
        <v>0</v>
      </c>
      <c r="O112" s="92">
        <v>0</v>
      </c>
      <c r="P112" s="92">
        <v>0</v>
      </c>
      <c r="Q112" s="92">
        <v>0</v>
      </c>
      <c r="R112" s="92">
        <v>0</v>
      </c>
      <c r="S112" s="92">
        <v>0</v>
      </c>
      <c r="T112" s="92">
        <v>0</v>
      </c>
      <c r="U112" s="92">
        <v>0</v>
      </c>
      <c r="V112" s="92">
        <v>0</v>
      </c>
      <c r="W112" s="92">
        <v>0</v>
      </c>
      <c r="X112" s="92">
        <v>0</v>
      </c>
      <c r="Y112" s="92">
        <v>0</v>
      </c>
      <c r="Z112" s="92">
        <v>0</v>
      </c>
      <c r="AA112" s="92">
        <v>0</v>
      </c>
      <c r="AB112" s="92">
        <v>0</v>
      </c>
      <c r="AC112" s="92">
        <v>0</v>
      </c>
      <c r="AD112" s="92">
        <v>0</v>
      </c>
      <c r="AE112" s="92">
        <v>0</v>
      </c>
      <c r="AF112" s="92">
        <v>0</v>
      </c>
      <c r="AG112" s="92">
        <v>0</v>
      </c>
      <c r="AH112" s="92">
        <v>0</v>
      </c>
      <c r="AI112" s="440" t="s">
        <v>482</v>
      </c>
      <c r="AJ112" s="441"/>
      <c r="AK112" s="441"/>
      <c r="AL112" s="441"/>
      <c r="AM112" s="441"/>
      <c r="AN112" s="441"/>
      <c r="AO112" s="441"/>
      <c r="AP112" s="442"/>
    </row>
    <row r="113" spans="1:42" ht="24">
      <c r="A113" s="100" t="s">
        <v>454</v>
      </c>
      <c r="B113" s="92">
        <v>2.2845178657689758</v>
      </c>
      <c r="C113" s="92">
        <v>2.3309107388399908</v>
      </c>
      <c r="D113" s="92">
        <v>2.4079491963395356</v>
      </c>
      <c r="E113" s="92">
        <v>3.0237706876354995</v>
      </c>
      <c r="F113" s="92">
        <v>2.6519136492297246</v>
      </c>
      <c r="G113" s="92">
        <v>2.3112763466694002</v>
      </c>
      <c r="H113" s="92">
        <v>2.317410393227342</v>
      </c>
      <c r="I113" s="92">
        <v>2.8190312457714097</v>
      </c>
      <c r="J113" s="92">
        <v>3.4582849967832781</v>
      </c>
      <c r="K113" s="92">
        <v>3.5791558277399109</v>
      </c>
      <c r="L113" s="92">
        <v>3.9328611822798063</v>
      </c>
      <c r="M113" s="92">
        <v>4.3424738690668301</v>
      </c>
      <c r="N113" s="92">
        <v>4.8005977609216464</v>
      </c>
      <c r="O113" s="92">
        <v>4.8088829714677699</v>
      </c>
      <c r="P113" s="92">
        <v>5.1092514213031333</v>
      </c>
      <c r="Q113" s="92">
        <v>5.2558821574270151</v>
      </c>
      <c r="R113" s="92">
        <v>5.2295342114829868</v>
      </c>
      <c r="S113" s="92">
        <v>5.3582243783433974</v>
      </c>
      <c r="T113" s="92">
        <v>5.5421430734598358</v>
      </c>
      <c r="U113" s="92">
        <v>5.811687623173281</v>
      </c>
      <c r="V113" s="92">
        <v>5.6928274307052353</v>
      </c>
      <c r="W113" s="92">
        <v>5.7253420892898514</v>
      </c>
      <c r="X113" s="92">
        <v>5.6745591591992754</v>
      </c>
      <c r="Y113" s="92">
        <v>5.6295843858075552</v>
      </c>
      <c r="Z113" s="92">
        <v>5.6090140686380447</v>
      </c>
      <c r="AA113" s="92">
        <v>5.6380654259500895</v>
      </c>
      <c r="AB113" s="92">
        <v>5.7224166245934578</v>
      </c>
      <c r="AC113" s="92">
        <v>5.7571571712794007</v>
      </c>
      <c r="AD113" s="92">
        <v>5.8101763671965827</v>
      </c>
      <c r="AE113" s="92">
        <v>5.8575468123875494</v>
      </c>
      <c r="AF113" s="92">
        <v>4.9713360895737786</v>
      </c>
      <c r="AG113" s="92">
        <v>5.1135833456205111</v>
      </c>
      <c r="AH113" s="92">
        <v>5.7179014238275228</v>
      </c>
      <c r="AI113" s="338">
        <v>5.160001565096155</v>
      </c>
      <c r="AJ113" s="338">
        <f>AI113+(AK113-AI113)/2</f>
        <v>5.152688974528445</v>
      </c>
      <c r="AK113" s="338">
        <v>5.1453763839607358</v>
      </c>
      <c r="AL113" s="338">
        <f>AK113+(AN113-AK113)/3</f>
        <v>4.8999216816299516</v>
      </c>
      <c r="AM113" s="338">
        <f>AK113+(AN113-AK113)*2/3</f>
        <v>4.6544669792991673</v>
      </c>
      <c r="AN113" s="338">
        <v>4.409012276968383</v>
      </c>
      <c r="AO113" s="338">
        <f>AN113+(AP113-AN113)/2</f>
        <v>4.1511826121231712</v>
      </c>
      <c r="AP113" s="338">
        <v>3.8933529472779593</v>
      </c>
    </row>
    <row r="114" spans="1:42" ht="24">
      <c r="A114" s="100" t="s">
        <v>455</v>
      </c>
      <c r="B114" s="92">
        <v>0</v>
      </c>
      <c r="C114" s="92">
        <v>0</v>
      </c>
      <c r="D114" s="92">
        <v>0</v>
      </c>
      <c r="E114" s="92">
        <v>0</v>
      </c>
      <c r="F114" s="92">
        <v>0</v>
      </c>
      <c r="G114" s="92">
        <v>0</v>
      </c>
      <c r="H114" s="92">
        <v>0</v>
      </c>
      <c r="I114" s="92">
        <v>0</v>
      </c>
      <c r="J114" s="92">
        <v>0</v>
      </c>
      <c r="K114" s="92">
        <v>0</v>
      </c>
      <c r="L114" s="92">
        <v>0</v>
      </c>
      <c r="M114" s="92">
        <v>0</v>
      </c>
      <c r="N114" s="92">
        <v>0</v>
      </c>
      <c r="O114" s="92">
        <v>0</v>
      </c>
      <c r="P114" s="92">
        <v>0</v>
      </c>
      <c r="Q114" s="92">
        <v>0</v>
      </c>
      <c r="R114" s="92">
        <v>0</v>
      </c>
      <c r="S114" s="92">
        <v>0</v>
      </c>
      <c r="T114" s="92">
        <v>0</v>
      </c>
      <c r="U114" s="92">
        <v>0</v>
      </c>
      <c r="V114" s="92">
        <v>0</v>
      </c>
      <c r="W114" s="92">
        <v>0</v>
      </c>
      <c r="X114" s="92">
        <v>0</v>
      </c>
      <c r="Y114" s="92">
        <v>0</v>
      </c>
      <c r="Z114" s="92">
        <v>0</v>
      </c>
      <c r="AA114" s="92">
        <v>0</v>
      </c>
      <c r="AB114" s="92">
        <v>0</v>
      </c>
      <c r="AC114" s="92">
        <v>0</v>
      </c>
      <c r="AD114" s="92">
        <v>0</v>
      </c>
      <c r="AE114" s="92">
        <v>0</v>
      </c>
      <c r="AF114" s="92">
        <v>0</v>
      </c>
      <c r="AG114" s="92">
        <v>0</v>
      </c>
      <c r="AH114" s="92">
        <v>0</v>
      </c>
      <c r="AI114" s="338">
        <v>0</v>
      </c>
      <c r="AJ114" s="338">
        <f t="shared" ref="AJ114:AJ117" si="48">AI114+(AK114-AI114)/2</f>
        <v>0</v>
      </c>
      <c r="AK114" s="338">
        <v>0</v>
      </c>
      <c r="AL114" s="338">
        <f t="shared" ref="AL114:AL117" si="49">AK114+(AN114-AK114)/3</f>
        <v>0</v>
      </c>
      <c r="AM114" s="338">
        <f t="shared" ref="AM114:AM117" si="50">AK114+(AN114-AK114)*2/3</f>
        <v>0</v>
      </c>
      <c r="AN114" s="338">
        <v>0</v>
      </c>
      <c r="AO114" s="338">
        <f t="shared" ref="AO114:AO117" si="51">AN114+(AP114-AN114)/2</f>
        <v>0</v>
      </c>
      <c r="AP114" s="338">
        <v>0</v>
      </c>
    </row>
    <row r="115" spans="1:42" ht="24">
      <c r="A115" s="100" t="s">
        <v>456</v>
      </c>
      <c r="B115" s="92">
        <v>0</v>
      </c>
      <c r="C115" s="92">
        <v>0</v>
      </c>
      <c r="D115" s="92">
        <v>0</v>
      </c>
      <c r="E115" s="92">
        <v>0</v>
      </c>
      <c r="F115" s="92">
        <v>0</v>
      </c>
      <c r="G115" s="92">
        <v>0</v>
      </c>
      <c r="H115" s="92">
        <v>0</v>
      </c>
      <c r="I115" s="92">
        <v>0</v>
      </c>
      <c r="J115" s="92">
        <v>0</v>
      </c>
      <c r="K115" s="92">
        <v>0</v>
      </c>
      <c r="L115" s="92">
        <v>0</v>
      </c>
      <c r="M115" s="92">
        <v>0</v>
      </c>
      <c r="N115" s="92">
        <v>0</v>
      </c>
      <c r="O115" s="92">
        <v>0</v>
      </c>
      <c r="P115" s="92">
        <v>0</v>
      </c>
      <c r="Q115" s="92">
        <v>0</v>
      </c>
      <c r="R115" s="92">
        <v>0</v>
      </c>
      <c r="S115" s="92">
        <v>0</v>
      </c>
      <c r="T115" s="92">
        <v>0</v>
      </c>
      <c r="U115" s="92">
        <v>0</v>
      </c>
      <c r="V115" s="92">
        <v>0</v>
      </c>
      <c r="W115" s="92">
        <v>0</v>
      </c>
      <c r="X115" s="92">
        <v>0</v>
      </c>
      <c r="Y115" s="92">
        <v>0</v>
      </c>
      <c r="Z115" s="92">
        <v>0</v>
      </c>
      <c r="AA115" s="92">
        <v>0</v>
      </c>
      <c r="AB115" s="92">
        <v>0</v>
      </c>
      <c r="AC115" s="92">
        <v>0</v>
      </c>
      <c r="AD115" s="92">
        <v>0</v>
      </c>
      <c r="AE115" s="92">
        <v>0</v>
      </c>
      <c r="AF115" s="92">
        <v>0</v>
      </c>
      <c r="AG115" s="92">
        <v>0</v>
      </c>
      <c r="AH115" s="92">
        <v>0</v>
      </c>
      <c r="AI115" s="338">
        <v>0</v>
      </c>
      <c r="AJ115" s="338">
        <f t="shared" si="48"/>
        <v>0</v>
      </c>
      <c r="AK115" s="338">
        <v>0</v>
      </c>
      <c r="AL115" s="338">
        <f t="shared" si="49"/>
        <v>0</v>
      </c>
      <c r="AM115" s="338">
        <f t="shared" si="50"/>
        <v>0</v>
      </c>
      <c r="AN115" s="338">
        <v>0</v>
      </c>
      <c r="AO115" s="338">
        <f t="shared" si="51"/>
        <v>0</v>
      </c>
      <c r="AP115" s="338">
        <v>0</v>
      </c>
    </row>
    <row r="116" spans="1:42">
      <c r="A116" s="124" t="s">
        <v>457</v>
      </c>
      <c r="B116" s="126">
        <v>802.72269837077079</v>
      </c>
      <c r="C116" s="126">
        <v>815.61729493085352</v>
      </c>
      <c r="D116" s="126">
        <v>867.59900417406482</v>
      </c>
      <c r="E116" s="126">
        <v>957.64567358558759</v>
      </c>
      <c r="F116" s="126">
        <v>1142.9740533109107</v>
      </c>
      <c r="G116" s="126">
        <v>1392.2066821445344</v>
      </c>
      <c r="H116" s="126">
        <v>1688.2857303233125</v>
      </c>
      <c r="I116" s="126">
        <v>1942.4851930012999</v>
      </c>
      <c r="J116" s="126">
        <v>2048.9489673804333</v>
      </c>
      <c r="K116" s="126">
        <v>1229.9183804842289</v>
      </c>
      <c r="L116" s="126">
        <v>1177.3638446170262</v>
      </c>
      <c r="M116" s="126">
        <v>1210.7980110081007</v>
      </c>
      <c r="N116" s="126">
        <v>1216.5352276616845</v>
      </c>
      <c r="O116" s="126">
        <v>1227.6760653005715</v>
      </c>
      <c r="P116" s="126">
        <v>1239.2165290032781</v>
      </c>
      <c r="Q116" s="126">
        <v>1213.1427666786592</v>
      </c>
      <c r="R116" s="126">
        <v>1210.7745116497874</v>
      </c>
      <c r="S116" s="126">
        <v>1217.1336233562083</v>
      </c>
      <c r="T116" s="126">
        <v>1183.4687939268304</v>
      </c>
      <c r="U116" s="126">
        <v>1037.19513687617</v>
      </c>
      <c r="V116" s="126">
        <v>1078.3029880816828</v>
      </c>
      <c r="W116" s="126">
        <v>1111.8971399000607</v>
      </c>
      <c r="X116" s="126">
        <v>1149.8805149518369</v>
      </c>
      <c r="Y116" s="126">
        <v>1183.7940461353289</v>
      </c>
      <c r="Z116" s="126">
        <v>1221.1705905054903</v>
      </c>
      <c r="AA116" s="126">
        <v>1251.4710782428801</v>
      </c>
      <c r="AB116" s="126">
        <v>1265.8215322440251</v>
      </c>
      <c r="AC116" s="126">
        <v>1258.3184760738711</v>
      </c>
      <c r="AD116" s="126">
        <v>1206.542997227262</v>
      </c>
      <c r="AE116" s="126">
        <v>1181.5601802408291</v>
      </c>
      <c r="AF116" s="126">
        <v>991.93741397712392</v>
      </c>
      <c r="AG116" s="126">
        <v>1098.8867334730676</v>
      </c>
      <c r="AH116" s="126">
        <v>1103.236492043801</v>
      </c>
      <c r="AI116" s="349">
        <v>1011.3564153280902</v>
      </c>
      <c r="AJ116" s="349">
        <f t="shared" ref="AJ116:AO116" si="52">SUM(AJ95:AJ115)</f>
        <v>963.3143831308131</v>
      </c>
      <c r="AK116" s="349">
        <v>915.27235093353625</v>
      </c>
      <c r="AL116" s="349">
        <f t="shared" si="52"/>
        <v>873.12758736494561</v>
      </c>
      <c r="AM116" s="349">
        <f t="shared" si="52"/>
        <v>830.98282379635498</v>
      </c>
      <c r="AN116" s="349">
        <v>788.83806022776457</v>
      </c>
      <c r="AO116" s="349">
        <f t="shared" si="52"/>
        <v>744.83387895601902</v>
      </c>
      <c r="AP116" s="349">
        <v>700.82969768427324</v>
      </c>
    </row>
    <row r="117" spans="1:42" ht="24">
      <c r="A117" s="100" t="s">
        <v>60</v>
      </c>
      <c r="B117" s="92">
        <v>11.252495386883803</v>
      </c>
      <c r="C117" s="92">
        <v>10.899805232966548</v>
      </c>
      <c r="D117" s="92">
        <v>10.379167386707744</v>
      </c>
      <c r="E117" s="92">
        <v>9.6038088737309266</v>
      </c>
      <c r="F117" s="92">
        <v>8.9180224633362695</v>
      </c>
      <c r="G117" s="92">
        <v>8.5205462581279328</v>
      </c>
      <c r="H117" s="92">
        <v>8.2518299503814561</v>
      </c>
      <c r="I117" s="92">
        <v>8.1734543606220669</v>
      </c>
      <c r="J117" s="92">
        <v>7.7787772836194256</v>
      </c>
      <c r="K117" s="92">
        <v>7.8375589759389657</v>
      </c>
      <c r="L117" s="92">
        <v>7.9775153862235904</v>
      </c>
      <c r="M117" s="92">
        <v>7.5856374374266426</v>
      </c>
      <c r="N117" s="92">
        <v>7.8095676938820411</v>
      </c>
      <c r="O117" s="92">
        <v>7.4736723091989452</v>
      </c>
      <c r="P117" s="92">
        <v>7.3617071809712415</v>
      </c>
      <c r="Q117" s="92">
        <v>6.6619251295481208</v>
      </c>
      <c r="R117" s="92">
        <v>6.4874200830129558</v>
      </c>
      <c r="S117" s="92">
        <v>6.2474041280914925</v>
      </c>
      <c r="T117" s="92">
        <v>6.4952477444195553</v>
      </c>
      <c r="U117" s="92">
        <v>5.9418986438994716</v>
      </c>
      <c r="V117" s="92">
        <v>5.6112492314940905</v>
      </c>
      <c r="W117" s="92">
        <v>5.7071792928029312</v>
      </c>
      <c r="X117" s="92">
        <v>5.4792405960846837</v>
      </c>
      <c r="Y117" s="92">
        <v>5.4145688483554428</v>
      </c>
      <c r="Z117" s="92">
        <v>4.6285261747378499</v>
      </c>
      <c r="AA117" s="92">
        <v>5.1529347847355682</v>
      </c>
      <c r="AB117" s="92">
        <v>4.2998098313702799</v>
      </c>
      <c r="AC117" s="92">
        <v>4.5627893260651406</v>
      </c>
      <c r="AD117" s="92">
        <v>4.0706976320440376</v>
      </c>
      <c r="AE117" s="92">
        <v>4.0776422644924661</v>
      </c>
      <c r="AF117" s="92">
        <v>3.3991182139465259</v>
      </c>
      <c r="AG117" s="92">
        <v>3.8967852161140253</v>
      </c>
      <c r="AH117" s="92">
        <v>3.8790974841886086</v>
      </c>
      <c r="AI117" s="338">
        <v>3.7173171819617474</v>
      </c>
      <c r="AJ117" s="338">
        <f t="shared" si="48"/>
        <v>3.8236941845428705</v>
      </c>
      <c r="AK117" s="338">
        <v>3.9300711871239935</v>
      </c>
      <c r="AL117" s="338">
        <f t="shared" si="49"/>
        <v>3.7750240206476877</v>
      </c>
      <c r="AM117" s="338">
        <f t="shared" si="50"/>
        <v>3.6199768541713815</v>
      </c>
      <c r="AN117" s="338">
        <v>3.4649296876950757</v>
      </c>
      <c r="AO117" s="338">
        <f t="shared" si="51"/>
        <v>3.3093925937168045</v>
      </c>
      <c r="AP117" s="338">
        <v>3.1538554997385329</v>
      </c>
    </row>
    <row r="118" spans="1:42" ht="36">
      <c r="A118" s="100" t="s">
        <v>458</v>
      </c>
      <c r="B118" s="92">
        <v>0.90100528224455612</v>
      </c>
      <c r="C118" s="92">
        <v>0.99536140474100099</v>
      </c>
      <c r="D118" s="92">
        <v>1.0425704311966433</v>
      </c>
      <c r="E118" s="92">
        <v>0.67288890857142858</v>
      </c>
      <c r="F118" s="92">
        <v>0.68432487992863522</v>
      </c>
      <c r="G118" s="92">
        <v>0.67907232736572898</v>
      </c>
      <c r="H118" s="92">
        <v>0.69158882486072426</v>
      </c>
      <c r="I118" s="92">
        <v>0.66276085850052802</v>
      </c>
      <c r="J118" s="92">
        <v>0.72840426168224315</v>
      </c>
      <c r="K118" s="92">
        <v>0.86281306999598428</v>
      </c>
      <c r="L118" s="92">
        <v>0.86675543642264685</v>
      </c>
      <c r="M118" s="92">
        <v>0.74946349013144364</v>
      </c>
      <c r="N118" s="92">
        <v>0.8108111093908339</v>
      </c>
      <c r="O118" s="92">
        <v>0.83271832477076924</v>
      </c>
      <c r="P118" s="92">
        <v>0.85934454120713033</v>
      </c>
      <c r="Q118" s="92">
        <v>0.95485063583151586</v>
      </c>
      <c r="R118" s="92">
        <v>0.95304749079286422</v>
      </c>
      <c r="S118" s="92">
        <v>0.89570801005197576</v>
      </c>
      <c r="T118" s="92">
        <v>0.91324931848882973</v>
      </c>
      <c r="U118" s="92">
        <v>0.97331080076429333</v>
      </c>
      <c r="V118" s="92">
        <v>1.0179214075463829</v>
      </c>
      <c r="W118" s="92">
        <v>1.0012425352217693</v>
      </c>
      <c r="X118" s="92">
        <v>0.99805071133799639</v>
      </c>
      <c r="Y118" s="92">
        <v>0.997361995962041</v>
      </c>
      <c r="Z118" s="92">
        <v>0.963765164300183</v>
      </c>
      <c r="AA118" s="92">
        <v>0.92014287150990171</v>
      </c>
      <c r="AB118" s="92">
        <v>0.83451404816769903</v>
      </c>
      <c r="AC118" s="92">
        <v>0.79184560042379903</v>
      </c>
      <c r="AD118" s="92">
        <v>0.84131922160561412</v>
      </c>
      <c r="AE118" s="92">
        <v>0.92268321628257643</v>
      </c>
      <c r="AF118" s="92">
        <v>0.84922951538596858</v>
      </c>
      <c r="AG118" s="92">
        <v>0.90318738375387098</v>
      </c>
      <c r="AH118" s="92">
        <v>0.92693006346393592</v>
      </c>
      <c r="AI118" s="338">
        <v>0.88245951150603763</v>
      </c>
      <c r="AJ118" s="338">
        <f>AI118+(AK118-AI118)/2</f>
        <v>0.92520284505155925</v>
      </c>
      <c r="AK118" s="338">
        <v>0.96794617859708076</v>
      </c>
      <c r="AL118" s="338">
        <f>AK118+(AN118-AK118)/3</f>
        <v>1.001145211653959</v>
      </c>
      <c r="AM118" s="338">
        <f>AK118+(AN118-AK118)*2/3</f>
        <v>1.0343442447108373</v>
      </c>
      <c r="AN118" s="338">
        <v>1.0675432777677156</v>
      </c>
      <c r="AO118" s="338">
        <f>AN118+(AP118-AN118)/2</f>
        <v>1.1007423108245935</v>
      </c>
      <c r="AP118" s="338">
        <v>1.1339413438814712</v>
      </c>
    </row>
    <row r="119" spans="1:42" ht="36">
      <c r="A119" s="100" t="s">
        <v>459</v>
      </c>
      <c r="B119" s="92">
        <v>12.114160679075233</v>
      </c>
      <c r="C119" s="92">
        <v>13.187275661870286</v>
      </c>
      <c r="D119" s="92">
        <v>12.047454037889276</v>
      </c>
      <c r="E119" s="92">
        <v>13.470416357131633</v>
      </c>
      <c r="F119" s="92">
        <v>12.81602806281693</v>
      </c>
      <c r="G119" s="92">
        <v>12.361410591163654</v>
      </c>
      <c r="H119" s="92">
        <v>11.978184400706104</v>
      </c>
      <c r="I119" s="92">
        <v>12.065193898123233</v>
      </c>
      <c r="J119" s="92">
        <v>12.14351737509338</v>
      </c>
      <c r="K119" s="92">
        <v>12.798086658056315</v>
      </c>
      <c r="L119" s="92">
        <v>12.150479733224998</v>
      </c>
      <c r="M119" s="92">
        <v>12.824178255803037</v>
      </c>
      <c r="N119" s="92">
        <v>12.417766602301935</v>
      </c>
      <c r="O119" s="92">
        <v>12.541868779799106</v>
      </c>
      <c r="P119" s="92">
        <v>11.326863172536024</v>
      </c>
      <c r="Q119" s="92">
        <v>10.956363408183876</v>
      </c>
      <c r="R119" s="92">
        <v>9.9466690594987028</v>
      </c>
      <c r="S119" s="92">
        <v>9.3719582228479918</v>
      </c>
      <c r="T119" s="92">
        <v>8.6999357485017779</v>
      </c>
      <c r="U119" s="92">
        <v>8.9107203134394553</v>
      </c>
      <c r="V119" s="92">
        <v>8.6304272192113523</v>
      </c>
      <c r="W119" s="92">
        <v>9.0368870879040522</v>
      </c>
      <c r="X119" s="92">
        <v>9.1597246851542948</v>
      </c>
      <c r="Y119" s="92">
        <v>8.2750238016938535</v>
      </c>
      <c r="Z119" s="92">
        <v>8.3532099654102581</v>
      </c>
      <c r="AA119" s="92">
        <v>8.079566106875415</v>
      </c>
      <c r="AB119" s="92">
        <v>7.7517499343563241</v>
      </c>
      <c r="AC119" s="92">
        <v>8.8101092992481753</v>
      </c>
      <c r="AD119" s="92">
        <v>8.1568184177122909</v>
      </c>
      <c r="AE119" s="92">
        <v>8.2864816762190401</v>
      </c>
      <c r="AF119" s="92">
        <v>8.5538736880719721</v>
      </c>
      <c r="AG119" s="92">
        <v>9.4238443795185454</v>
      </c>
      <c r="AH119" s="92">
        <v>9.449781553348588</v>
      </c>
      <c r="AI119" s="338">
        <v>9.1808798408031258</v>
      </c>
      <c r="AJ119" s="338">
        <f t="shared" ref="AJ119:AJ121" si="53">AI119+(AK119-AI119)/2</f>
        <v>9.0799592867497871</v>
      </c>
      <c r="AK119" s="338">
        <v>8.9790387326964467</v>
      </c>
      <c r="AL119" s="338">
        <f t="shared" ref="AL119:AL121" si="54">AK119+(AN119-AK119)/3</f>
        <v>8.8192326683902884</v>
      </c>
      <c r="AM119" s="338">
        <f t="shared" ref="AM119:AM121" si="55">AK119+(AN119-AK119)*2/3</f>
        <v>8.6594266040841319</v>
      </c>
      <c r="AN119" s="338">
        <v>8.4996205397779736</v>
      </c>
      <c r="AO119" s="338">
        <f t="shared" ref="AO119:AO121" si="56">AN119+(AP119-AN119)/2</f>
        <v>8.340639254429119</v>
      </c>
      <c r="AP119" s="338">
        <v>8.1816579690802644</v>
      </c>
    </row>
    <row r="120" spans="1:42" ht="36">
      <c r="A120" s="100" t="s">
        <v>460</v>
      </c>
      <c r="B120" s="92">
        <v>3.6123451091309775</v>
      </c>
      <c r="C120" s="92">
        <v>3.7201495127593756</v>
      </c>
      <c r="D120" s="92">
        <v>3.829690871317097</v>
      </c>
      <c r="E120" s="92">
        <v>4.0115078466933038</v>
      </c>
      <c r="F120" s="92">
        <v>4.1067476368086338</v>
      </c>
      <c r="G120" s="92">
        <v>4.3128317232876014</v>
      </c>
      <c r="H120" s="92">
        <v>4.4293712076498277</v>
      </c>
      <c r="I120" s="92">
        <v>4.5754026962053693</v>
      </c>
      <c r="J120" s="92">
        <v>4.9006128378067864</v>
      </c>
      <c r="K120" s="92">
        <v>5.0159499935902554</v>
      </c>
      <c r="L120" s="92">
        <v>4.6104073481049035</v>
      </c>
      <c r="M120" s="92">
        <v>4.989310070398318</v>
      </c>
      <c r="N120" s="92">
        <v>5.3492105833899988</v>
      </c>
      <c r="O120" s="92">
        <v>5.4471491862682155</v>
      </c>
      <c r="P120" s="92">
        <v>5.5841967079620147</v>
      </c>
      <c r="Q120" s="92">
        <v>5.3334826492084169</v>
      </c>
      <c r="R120" s="92">
        <v>5.3427164677891561</v>
      </c>
      <c r="S120" s="92">
        <v>5.5669138079469356</v>
      </c>
      <c r="T120" s="92">
        <v>5.4912414464869252</v>
      </c>
      <c r="U120" s="92">
        <v>5.5755731223798923</v>
      </c>
      <c r="V120" s="92">
        <v>5.6767067087492089</v>
      </c>
      <c r="W120" s="92">
        <v>5.6824992077611665</v>
      </c>
      <c r="X120" s="92">
        <v>6.017681006006006</v>
      </c>
      <c r="Y120" s="92">
        <v>6.0704485669982322</v>
      </c>
      <c r="Z120" s="92">
        <v>6.1213077962548477</v>
      </c>
      <c r="AA120" s="92">
        <v>6.1477734760656215</v>
      </c>
      <c r="AB120" s="92">
        <v>6.2103808993524199</v>
      </c>
      <c r="AC120" s="92">
        <v>6.2475503669486754</v>
      </c>
      <c r="AD120" s="92">
        <v>6.2895705486803042</v>
      </c>
      <c r="AE120" s="92">
        <v>6.3575470032387438</v>
      </c>
      <c r="AF120" s="92">
        <v>6.3807457152825293</v>
      </c>
      <c r="AG120" s="92">
        <v>6.420763462873742</v>
      </c>
      <c r="AH120" s="92">
        <v>6.960789211673819</v>
      </c>
      <c r="AI120" s="338">
        <v>6.4179347339129684</v>
      </c>
      <c r="AJ120" s="338">
        <f t="shared" si="53"/>
        <v>6.4303310734564478</v>
      </c>
      <c r="AK120" s="338">
        <v>6.4427274129999272</v>
      </c>
      <c r="AL120" s="338">
        <f t="shared" si="54"/>
        <v>6.4254746186466321</v>
      </c>
      <c r="AM120" s="338">
        <f t="shared" si="55"/>
        <v>6.408221824293336</v>
      </c>
      <c r="AN120" s="338">
        <v>6.3909690299400408</v>
      </c>
      <c r="AO120" s="338">
        <f t="shared" si="56"/>
        <v>6.3737162355867447</v>
      </c>
      <c r="AP120" s="338">
        <v>6.3564634412334486</v>
      </c>
    </row>
    <row r="121" spans="1:42" ht="24">
      <c r="A121" s="100" t="s">
        <v>251</v>
      </c>
      <c r="B121" s="92">
        <v>29.812058019655264</v>
      </c>
      <c r="C121" s="92">
        <v>30.53333007692844</v>
      </c>
      <c r="D121" s="92">
        <v>30.136015870198555</v>
      </c>
      <c r="E121" s="92">
        <v>30.067103927728215</v>
      </c>
      <c r="F121" s="92">
        <v>31.342924659168752</v>
      </c>
      <c r="G121" s="92">
        <v>35.77517810624132</v>
      </c>
      <c r="H121" s="92">
        <v>39.633571703287885</v>
      </c>
      <c r="I121" s="92">
        <v>40.590176079069074</v>
      </c>
      <c r="J121" s="92">
        <v>41.929685234076921</v>
      </c>
      <c r="K121" s="92">
        <v>43.059933509765592</v>
      </c>
      <c r="L121" s="92">
        <v>44.279176435362714</v>
      </c>
      <c r="M121" s="92">
        <v>41.60704154234238</v>
      </c>
      <c r="N121" s="92">
        <v>40.212183806420413</v>
      </c>
      <c r="O121" s="92">
        <v>36.520636532302632</v>
      </c>
      <c r="P121" s="92">
        <v>36.901815487854968</v>
      </c>
      <c r="Q121" s="92">
        <v>35.657193256812192</v>
      </c>
      <c r="R121" s="92">
        <v>33.980941497765713</v>
      </c>
      <c r="S121" s="92">
        <v>33.412101602214761</v>
      </c>
      <c r="T121" s="92">
        <v>33.551582251227153</v>
      </c>
      <c r="U121" s="92">
        <v>33.142956973765514</v>
      </c>
      <c r="V121" s="92">
        <v>32.765751196360377</v>
      </c>
      <c r="W121" s="92">
        <v>33.101207225950759</v>
      </c>
      <c r="X121" s="92">
        <v>33.27665688524484</v>
      </c>
      <c r="Y121" s="92">
        <v>32.828687192988554</v>
      </c>
      <c r="Z121" s="92">
        <v>31.525587641425165</v>
      </c>
      <c r="AA121" s="92">
        <v>31.456057750572374</v>
      </c>
      <c r="AB121" s="92">
        <v>32.477953816957594</v>
      </c>
      <c r="AC121" s="92">
        <v>33.566070455786587</v>
      </c>
      <c r="AD121" s="92">
        <v>35.337484550903092</v>
      </c>
      <c r="AE121" s="92">
        <v>35.918520320410977</v>
      </c>
      <c r="AF121" s="92">
        <v>22.023204702552718</v>
      </c>
      <c r="AG121" s="92">
        <v>27.19060888520065</v>
      </c>
      <c r="AH121" s="92">
        <v>33.950862466286736</v>
      </c>
      <c r="AI121" s="338">
        <v>28.488411796860348</v>
      </c>
      <c r="AJ121" s="338">
        <f t="shared" si="53"/>
        <v>30.847456630607663</v>
      </c>
      <c r="AK121" s="338">
        <v>33.206501464354979</v>
      </c>
      <c r="AL121" s="338">
        <f t="shared" si="54"/>
        <v>33.257083362464051</v>
      </c>
      <c r="AM121" s="338">
        <f t="shared" si="55"/>
        <v>33.307665260573131</v>
      </c>
      <c r="AN121" s="338">
        <v>33.358247158682204</v>
      </c>
      <c r="AO121" s="338">
        <f t="shared" si="56"/>
        <v>33.408829056791276</v>
      </c>
      <c r="AP121" s="338">
        <v>33.459410954900342</v>
      </c>
    </row>
    <row r="122" spans="1:42">
      <c r="A122" s="124" t="s">
        <v>461</v>
      </c>
      <c r="B122" s="127">
        <v>57.692064476989835</v>
      </c>
      <c r="C122" s="127">
        <v>59.335921889265649</v>
      </c>
      <c r="D122" s="127">
        <v>57.434898597309314</v>
      </c>
      <c r="E122" s="125">
        <v>57.825725913855507</v>
      </c>
      <c r="F122" s="125">
        <v>57.868047702059222</v>
      </c>
      <c r="G122" s="125">
        <v>61.649039006186236</v>
      </c>
      <c r="H122" s="125">
        <v>64.984546086885999</v>
      </c>
      <c r="I122" s="125">
        <v>66.066987892520274</v>
      </c>
      <c r="J122" s="125">
        <v>67.480996992278762</v>
      </c>
      <c r="K122" s="125">
        <v>69.574342207347115</v>
      </c>
      <c r="L122" s="125">
        <v>69.884334339338849</v>
      </c>
      <c r="M122" s="125">
        <v>67.755630796101826</v>
      </c>
      <c r="N122" s="125">
        <v>66.599539795385226</v>
      </c>
      <c r="O122" s="125">
        <v>62.816045132339667</v>
      </c>
      <c r="P122" s="125">
        <v>62.033927090531378</v>
      </c>
      <c r="Q122" s="125">
        <v>59.563815079584117</v>
      </c>
      <c r="R122" s="125">
        <v>56.710794598859394</v>
      </c>
      <c r="S122" s="125">
        <v>55.494085771153152</v>
      </c>
      <c r="T122" s="125">
        <v>55.151256509124238</v>
      </c>
      <c r="U122" s="125">
        <v>54.544459854248629</v>
      </c>
      <c r="V122" s="125">
        <v>53.702055763361415</v>
      </c>
      <c r="W122" s="125">
        <v>54.52901534964068</v>
      </c>
      <c r="X122" s="125">
        <v>54.931353883827825</v>
      </c>
      <c r="Y122" s="125">
        <v>53.586090405998121</v>
      </c>
      <c r="Z122" s="125">
        <v>51.592396742128301</v>
      </c>
      <c r="AA122" s="125">
        <v>51.756474989758885</v>
      </c>
      <c r="AB122" s="125">
        <v>51.574408530204316</v>
      </c>
      <c r="AC122" s="125">
        <v>53.978365048472376</v>
      </c>
      <c r="AD122" s="125">
        <v>54.695890370945335</v>
      </c>
      <c r="AE122" s="125">
        <v>55.562874480643799</v>
      </c>
      <c r="AF122" s="125">
        <v>41.206171835239715</v>
      </c>
      <c r="AG122" s="125">
        <v>47.835189327460839</v>
      </c>
      <c r="AH122" s="125">
        <v>55.167460778961683</v>
      </c>
      <c r="AI122" s="349">
        <v>48.687003065044223</v>
      </c>
      <c r="AJ122" s="349">
        <f t="shared" ref="AJ122:AO122" si="57">SUM(AJ117:AJ121)</f>
        <v>51.106644020408325</v>
      </c>
      <c r="AK122" s="349">
        <v>53.526284975772434</v>
      </c>
      <c r="AL122" s="349">
        <f t="shared" si="57"/>
        <v>53.277959881802616</v>
      </c>
      <c r="AM122" s="349">
        <f t="shared" si="57"/>
        <v>53.029634787832819</v>
      </c>
      <c r="AN122" s="349">
        <v>52.781309693863015</v>
      </c>
      <c r="AO122" s="349">
        <f t="shared" si="57"/>
        <v>52.53331945134854</v>
      </c>
      <c r="AP122" s="349">
        <v>52.285329208834064</v>
      </c>
    </row>
    <row r="123" spans="1:42">
      <c r="A123" s="128" t="s">
        <v>462</v>
      </c>
      <c r="B123" s="130">
        <v>860.41476284776058</v>
      </c>
      <c r="C123" s="130">
        <v>874.95321682011922</v>
      </c>
      <c r="D123" s="130">
        <v>925.03390277137419</v>
      </c>
      <c r="E123" s="129">
        <v>1015.4713994994431</v>
      </c>
      <c r="F123" s="129">
        <v>1200.8421010129698</v>
      </c>
      <c r="G123" s="129">
        <v>1453.8557211507207</v>
      </c>
      <c r="H123" s="129">
        <v>1753.2702764101984</v>
      </c>
      <c r="I123" s="129">
        <v>2008.5521808938202</v>
      </c>
      <c r="J123" s="129">
        <v>2116.4299643727122</v>
      </c>
      <c r="K123" s="129">
        <v>1299.4927226915761</v>
      </c>
      <c r="L123" s="129">
        <v>1247.2481789563651</v>
      </c>
      <c r="M123" s="129">
        <v>1278.5536418042025</v>
      </c>
      <c r="N123" s="129">
        <v>1283.1347674570698</v>
      </c>
      <c r="O123" s="129">
        <v>1290.4921104329112</v>
      </c>
      <c r="P123" s="129">
        <v>1301.2504560938094</v>
      </c>
      <c r="Q123" s="129">
        <v>1272.7065817582434</v>
      </c>
      <c r="R123" s="129">
        <v>1267.4853062486468</v>
      </c>
      <c r="S123" s="129">
        <v>1272.6277091273614</v>
      </c>
      <c r="T123" s="129">
        <v>1238.6200504359547</v>
      </c>
      <c r="U123" s="129">
        <v>1091.7395967304185</v>
      </c>
      <c r="V123" s="129">
        <v>1132.0050438450442</v>
      </c>
      <c r="W123" s="129">
        <v>1166.4261552497014</v>
      </c>
      <c r="X123" s="129">
        <v>1204.8118688356647</v>
      </c>
      <c r="Y123" s="129">
        <v>1237.3801365413271</v>
      </c>
      <c r="Z123" s="129">
        <v>1272.7629872476186</v>
      </c>
      <c r="AA123" s="129">
        <v>1303.2275532326389</v>
      </c>
      <c r="AB123" s="129">
        <v>1317.3959407742293</v>
      </c>
      <c r="AC123" s="129">
        <v>1312.2968411223435</v>
      </c>
      <c r="AD123" s="129">
        <v>1261.2388875982074</v>
      </c>
      <c r="AE123" s="129">
        <v>1237.123054721473</v>
      </c>
      <c r="AF123" s="129">
        <v>1033.1435858123637</v>
      </c>
      <c r="AG123" s="129">
        <v>1146.7219228005283</v>
      </c>
      <c r="AH123" s="129">
        <v>1158.4039528227627</v>
      </c>
      <c r="AI123" s="350">
        <v>1060.0434183931345</v>
      </c>
      <c r="AJ123" s="350">
        <f t="shared" ref="AJ123:AO123" si="58">+AJ116+AJ122</f>
        <v>1014.4210271512214</v>
      </c>
      <c r="AK123" s="350">
        <v>968.7986359093087</v>
      </c>
      <c r="AL123" s="350">
        <f t="shared" si="58"/>
        <v>926.40554724674826</v>
      </c>
      <c r="AM123" s="350">
        <f t="shared" si="58"/>
        <v>884.01245858418781</v>
      </c>
      <c r="AN123" s="350">
        <v>841.61936992162771</v>
      </c>
      <c r="AO123" s="350">
        <f t="shared" si="58"/>
        <v>797.3671984073676</v>
      </c>
      <c r="AP123" s="350">
        <v>753.11502689310726</v>
      </c>
    </row>
    <row r="124" spans="1:42">
      <c r="A124" s="131"/>
      <c r="B124" s="131"/>
      <c r="C124" s="131"/>
      <c r="D124" s="131"/>
      <c r="E124" s="131"/>
      <c r="F124" s="131"/>
      <c r="G124" s="131"/>
      <c r="H124" s="131"/>
      <c r="I124" s="131"/>
      <c r="J124" s="131"/>
      <c r="K124" s="131"/>
      <c r="L124" s="131"/>
      <c r="M124" s="131"/>
      <c r="N124" s="131"/>
      <c r="O124" s="131"/>
      <c r="P124" s="131"/>
      <c r="Q124" s="131"/>
      <c r="R124" s="131"/>
      <c r="S124" s="131"/>
      <c r="T124" s="131"/>
      <c r="U124" s="131"/>
      <c r="V124" s="131"/>
      <c r="W124" s="150"/>
      <c r="X124" s="150"/>
      <c r="Y124" s="150"/>
      <c r="Z124" s="150"/>
      <c r="AA124" s="150"/>
      <c r="AB124" s="150"/>
      <c r="AC124" s="150"/>
      <c r="AD124" s="150"/>
      <c r="AE124" s="150"/>
      <c r="AF124" s="131"/>
      <c r="AG124" s="131"/>
      <c r="AH124" s="131"/>
    </row>
    <row r="125" spans="1:42" ht="60">
      <c r="A125" s="132" t="s">
        <v>463</v>
      </c>
      <c r="B125" s="133">
        <v>0.6117207177554439</v>
      </c>
      <c r="C125" s="133">
        <v>0.5850985952589991</v>
      </c>
      <c r="D125" s="133">
        <v>0.65077956880335697</v>
      </c>
      <c r="E125" s="133">
        <v>0.47858909142857148</v>
      </c>
      <c r="F125" s="133">
        <v>0.53488712007136485</v>
      </c>
      <c r="G125" s="133">
        <v>0.58529567263427107</v>
      </c>
      <c r="H125" s="133">
        <v>0.5502011751392758</v>
      </c>
      <c r="I125" s="133">
        <v>0.53387314149947196</v>
      </c>
      <c r="J125" s="133">
        <v>0.58111973831775687</v>
      </c>
      <c r="K125" s="133">
        <v>0.57219678265929497</v>
      </c>
      <c r="L125" s="133">
        <v>0.65304925419914472</v>
      </c>
      <c r="M125" s="133">
        <v>0.65082792228721065</v>
      </c>
      <c r="N125" s="133">
        <v>0.63127733222177174</v>
      </c>
      <c r="O125" s="133">
        <v>0.59394084940128478</v>
      </c>
      <c r="P125" s="133">
        <v>0.65044310577556264</v>
      </c>
      <c r="Q125" s="133">
        <v>0.66181026828322298</v>
      </c>
      <c r="R125" s="133">
        <v>0.67811021680740935</v>
      </c>
      <c r="S125" s="133">
        <v>0.64774133390236532</v>
      </c>
      <c r="T125" s="133">
        <v>0.61760627503701704</v>
      </c>
      <c r="U125" s="133">
        <v>0.5372236073631057</v>
      </c>
      <c r="V125" s="133">
        <v>0.61805995732377594</v>
      </c>
      <c r="W125" s="133">
        <v>0.56875435418360976</v>
      </c>
      <c r="X125" s="133">
        <v>0.5772979018425406</v>
      </c>
      <c r="Y125" s="133">
        <v>0.59148463490575698</v>
      </c>
      <c r="Z125" s="133">
        <v>0.58815211883539231</v>
      </c>
      <c r="AA125" s="133">
        <v>0.5694211664511778</v>
      </c>
      <c r="AB125" s="133">
        <v>0.53358443818784007</v>
      </c>
      <c r="AC125" s="133">
        <v>0.54967631762954094</v>
      </c>
      <c r="AD125" s="133">
        <v>0.49494058023824</v>
      </c>
      <c r="AE125" s="133">
        <v>0.54154897142038205</v>
      </c>
      <c r="AF125" s="133">
        <v>0.44616830211856967</v>
      </c>
      <c r="AG125" s="133">
        <v>0.44177859297554867</v>
      </c>
      <c r="AH125" s="133">
        <v>0.45339191688203045</v>
      </c>
      <c r="AI125" s="338">
        <v>0.46362668136668056</v>
      </c>
      <c r="AJ125" s="338">
        <f t="shared" ref="AJ125" si="59">AI125+(AK125-AI125)/2</f>
        <v>0.48639583208267168</v>
      </c>
      <c r="AK125" s="338">
        <v>0.50916498279866274</v>
      </c>
      <c r="AL125" s="338">
        <f t="shared" ref="AL125" si="60">AK125+(AN125-AK125)/3</f>
        <v>0.52677404322453192</v>
      </c>
      <c r="AM125" s="338">
        <f t="shared" ref="AM125" si="61">AK125+(AN125-AK125)*2/3</f>
        <v>0.5443831036504011</v>
      </c>
      <c r="AN125" s="338">
        <v>0.56199216407627028</v>
      </c>
      <c r="AO125" s="338">
        <f t="shared" ref="AO125" si="62">AN125+(AP125-AN125)/2</f>
        <v>0.57960122450213936</v>
      </c>
      <c r="AP125" s="338">
        <v>0.59721028492800854</v>
      </c>
    </row>
    <row r="126" spans="1:42" ht="60">
      <c r="A126" s="132" t="s">
        <v>464</v>
      </c>
      <c r="B126" s="133">
        <v>53.81759931001892</v>
      </c>
      <c r="C126" s="133">
        <v>55.87325898283337</v>
      </c>
      <c r="D126" s="133">
        <v>54.121558269993464</v>
      </c>
      <c r="E126" s="133">
        <v>52.506146169908362</v>
      </c>
      <c r="F126" s="133">
        <v>46.752504097533226</v>
      </c>
      <c r="G126" s="133">
        <v>48.197658785001877</v>
      </c>
      <c r="H126" s="133">
        <v>50.717332418840741</v>
      </c>
      <c r="I126" s="133">
        <v>55.698072030057787</v>
      </c>
      <c r="J126" s="133">
        <v>61.44168269657024</v>
      </c>
      <c r="K126" s="133">
        <v>62.117263681910693</v>
      </c>
      <c r="L126" s="133">
        <v>64.189846453816685</v>
      </c>
      <c r="M126" s="133">
        <v>54.306807130170938</v>
      </c>
      <c r="N126" s="133">
        <v>52.552829436064769</v>
      </c>
      <c r="O126" s="133">
        <v>56.947060303875077</v>
      </c>
      <c r="P126" s="133">
        <v>64.929543140332456</v>
      </c>
      <c r="Q126" s="133">
        <v>59.305877591544409</v>
      </c>
      <c r="R126" s="133">
        <v>61.631521989519342</v>
      </c>
      <c r="S126" s="133">
        <v>63.265893231183497</v>
      </c>
      <c r="T126" s="133">
        <v>55.068249156411078</v>
      </c>
      <c r="U126" s="133">
        <v>55.091285107025335</v>
      </c>
      <c r="V126" s="133">
        <v>53.42640209737241</v>
      </c>
      <c r="W126" s="133">
        <v>57.283042361988464</v>
      </c>
      <c r="X126" s="133">
        <v>54.13725748561761</v>
      </c>
      <c r="Y126" s="133">
        <v>49.322727884299425</v>
      </c>
      <c r="Z126" s="133">
        <v>42.015364884698265</v>
      </c>
      <c r="AA126" s="133">
        <v>37.420031127442137</v>
      </c>
      <c r="AB126" s="133">
        <v>35.587396276536495</v>
      </c>
      <c r="AC126" s="133">
        <v>37.636472307388928</v>
      </c>
      <c r="AD126" s="133">
        <v>42.47620142969695</v>
      </c>
      <c r="AE126" s="133">
        <v>37.294540664075051</v>
      </c>
      <c r="AF126" s="133">
        <v>20.974204359406105</v>
      </c>
      <c r="AG126" s="133">
        <v>23.878871803721665</v>
      </c>
      <c r="AH126" s="133">
        <v>25.883027556502892</v>
      </c>
      <c r="AI126" s="338">
        <v>28.977149760364487</v>
      </c>
      <c r="AJ126" s="338">
        <f>AI126+(AK126-AI126)/2</f>
        <v>31.573298317742712</v>
      </c>
      <c r="AK126" s="338">
        <v>34.16944687512094</v>
      </c>
      <c r="AL126" s="338">
        <f>AK126+(AN126-AK126)/3</f>
        <v>33.767273749162747</v>
      </c>
      <c r="AM126" s="338">
        <f>AK126+(AN126-AK126)*2/3</f>
        <v>33.365100623204555</v>
      </c>
      <c r="AN126" s="338">
        <v>32.962927497246362</v>
      </c>
      <c r="AO126" s="338">
        <f>AN126+(AP126-AN126)/2</f>
        <v>32.560754371288176</v>
      </c>
      <c r="AP126" s="338">
        <v>32.158581245329991</v>
      </c>
    </row>
    <row r="127" spans="1:42" ht="60">
      <c r="A127" s="132" t="s">
        <v>465</v>
      </c>
      <c r="B127" s="133">
        <v>63.531631088584163</v>
      </c>
      <c r="C127" s="133">
        <v>61.046982815298186</v>
      </c>
      <c r="D127" s="133">
        <v>71.429650193892641</v>
      </c>
      <c r="E127" s="133">
        <v>73.714526752050958</v>
      </c>
      <c r="F127" s="133">
        <v>76.501147007637755</v>
      </c>
      <c r="G127" s="133">
        <v>76.613649030569675</v>
      </c>
      <c r="H127" s="133">
        <v>81.264932050566344</v>
      </c>
      <c r="I127" s="133">
        <v>83.515742291438372</v>
      </c>
      <c r="J127" s="133">
        <v>88.810646781463475</v>
      </c>
      <c r="K127" s="133">
        <v>98.350086347302963</v>
      </c>
      <c r="L127" s="133">
        <v>101.90153143783652</v>
      </c>
      <c r="M127" s="133">
        <v>102.68220737413397</v>
      </c>
      <c r="N127" s="133">
        <v>103.41460251667579</v>
      </c>
      <c r="O127" s="133">
        <v>104.53045684412905</v>
      </c>
      <c r="P127" s="133">
        <v>111.7542190202045</v>
      </c>
      <c r="Q127" s="133">
        <v>113.47665282647226</v>
      </c>
      <c r="R127" s="133">
        <v>119.70816469506629</v>
      </c>
      <c r="S127" s="133">
        <v>124.25779144860948</v>
      </c>
      <c r="T127" s="133">
        <v>125.78838602975328</v>
      </c>
      <c r="U127" s="133">
        <v>115.53567394533887</v>
      </c>
      <c r="V127" s="133">
        <v>116.08838720769356</v>
      </c>
      <c r="W127" s="133">
        <v>122.13513541185223</v>
      </c>
      <c r="X127" s="133">
        <v>119.14274937409689</v>
      </c>
      <c r="Y127" s="133">
        <v>118.41762400192842</v>
      </c>
      <c r="Z127" s="133">
        <v>119.73184650720771</v>
      </c>
      <c r="AA127" s="133">
        <v>126.65315121424337</v>
      </c>
      <c r="AB127" s="133">
        <v>124.50229127659162</v>
      </c>
      <c r="AC127" s="133">
        <v>126.49095599617921</v>
      </c>
      <c r="AD127" s="133">
        <v>130.8544662234747</v>
      </c>
      <c r="AE127" s="133">
        <v>137.40391549320776</v>
      </c>
      <c r="AF127" s="133">
        <v>59.49625132382679</v>
      </c>
      <c r="AG127" s="133">
        <v>60.26790013937228</v>
      </c>
      <c r="AH127" s="133">
        <v>82.082716344429201</v>
      </c>
      <c r="AI127" s="338">
        <v>106.32606746124587</v>
      </c>
      <c r="AJ127" s="338">
        <f t="shared" ref="AJ127:AJ128" si="63">AI127+(AK127-AI127)/2</f>
        <v>121.93600617371908</v>
      </c>
      <c r="AK127" s="338">
        <v>137.5459448861923</v>
      </c>
      <c r="AL127" s="338">
        <f t="shared" ref="AL127:AL128" si="64">AK127+(AN127-AK127)/3</f>
        <v>138.73175507827204</v>
      </c>
      <c r="AM127" s="338">
        <f t="shared" ref="AM127:AM128" si="65">AK127+(AN127-AK127)*2/3</f>
        <v>139.91756527035176</v>
      </c>
      <c r="AN127" s="338">
        <v>141.1033754624315</v>
      </c>
      <c r="AO127" s="338">
        <f t="shared" ref="AO127:AO128" si="66">AN127+(AP127-AN127)/2</f>
        <v>142.28918565451121</v>
      </c>
      <c r="AP127" s="338">
        <v>143.47499584659093</v>
      </c>
    </row>
    <row r="128" spans="1:42" ht="36">
      <c r="A128" s="134" t="s">
        <v>466</v>
      </c>
      <c r="B128" s="135">
        <v>0</v>
      </c>
      <c r="C128" s="135">
        <v>0</v>
      </c>
      <c r="D128" s="135">
        <v>0</v>
      </c>
      <c r="E128" s="135">
        <v>0</v>
      </c>
      <c r="F128" s="135">
        <v>0</v>
      </c>
      <c r="G128" s="135">
        <v>0</v>
      </c>
      <c r="H128" s="135">
        <v>0</v>
      </c>
      <c r="I128" s="135">
        <v>0</v>
      </c>
      <c r="J128" s="135">
        <v>0</v>
      </c>
      <c r="K128" s="135">
        <v>0</v>
      </c>
      <c r="L128" s="135">
        <v>0</v>
      </c>
      <c r="M128" s="135">
        <v>0</v>
      </c>
      <c r="N128" s="135">
        <v>0</v>
      </c>
      <c r="O128" s="135">
        <v>0</v>
      </c>
      <c r="P128" s="135">
        <v>0</v>
      </c>
      <c r="Q128" s="135">
        <v>0</v>
      </c>
      <c r="R128" s="135">
        <v>0</v>
      </c>
      <c r="S128" s="135">
        <v>0</v>
      </c>
      <c r="T128" s="135">
        <v>0</v>
      </c>
      <c r="U128" s="135">
        <v>0</v>
      </c>
      <c r="V128" s="135">
        <v>0</v>
      </c>
      <c r="W128" s="135">
        <v>0</v>
      </c>
      <c r="X128" s="135">
        <v>0</v>
      </c>
      <c r="Y128" s="135">
        <v>0</v>
      </c>
      <c r="Z128" s="135">
        <v>0</v>
      </c>
      <c r="AA128" s="135">
        <v>0</v>
      </c>
      <c r="AB128" s="135">
        <v>0</v>
      </c>
      <c r="AC128" s="135">
        <v>0</v>
      </c>
      <c r="AD128" s="135">
        <v>0</v>
      </c>
      <c r="AE128" s="135">
        <v>0</v>
      </c>
      <c r="AF128" s="135">
        <v>0</v>
      </c>
      <c r="AG128" s="135">
        <v>0</v>
      </c>
      <c r="AH128" s="135">
        <v>0</v>
      </c>
      <c r="AI128" s="338">
        <v>0</v>
      </c>
      <c r="AJ128" s="338">
        <f t="shared" si="63"/>
        <v>0</v>
      </c>
      <c r="AK128" s="338">
        <v>0</v>
      </c>
      <c r="AL128" s="338">
        <f t="shared" si="64"/>
        <v>0</v>
      </c>
      <c r="AM128" s="338">
        <f t="shared" si="65"/>
        <v>0</v>
      </c>
      <c r="AN128" s="338">
        <v>0</v>
      </c>
      <c r="AO128" s="338">
        <f t="shared" si="66"/>
        <v>0</v>
      </c>
      <c r="AP128" s="338">
        <v>0</v>
      </c>
    </row>
    <row r="129" spans="1:42">
      <c r="A129" s="136" t="s">
        <v>467</v>
      </c>
      <c r="B129" s="138">
        <v>117.96095111635853</v>
      </c>
      <c r="C129" s="138">
        <v>117.50534039339055</v>
      </c>
      <c r="D129" s="138">
        <v>126.20198803268946</v>
      </c>
      <c r="E129" s="138">
        <v>126.69926201338789</v>
      </c>
      <c r="F129" s="137">
        <v>123.78853822524235</v>
      </c>
      <c r="G129" s="137">
        <v>125.39660348820583</v>
      </c>
      <c r="H129" s="137">
        <v>132.53246564454636</v>
      </c>
      <c r="I129" s="137">
        <v>139.74768746299563</v>
      </c>
      <c r="J129" s="137">
        <v>150.83344921635148</v>
      </c>
      <c r="K129" s="137">
        <v>161.03954681187295</v>
      </c>
      <c r="L129" s="137">
        <v>166.74442714585234</v>
      </c>
      <c r="M129" s="137">
        <v>157.63984242659211</v>
      </c>
      <c r="N129" s="137">
        <v>156.59870928496233</v>
      </c>
      <c r="O129" s="137">
        <v>162.07145799740542</v>
      </c>
      <c r="P129" s="137">
        <v>177.33420526631252</v>
      </c>
      <c r="Q129" s="137">
        <v>173.44434068629988</v>
      </c>
      <c r="R129" s="137">
        <v>182.01779690139304</v>
      </c>
      <c r="S129" s="137">
        <v>188.17142601369534</v>
      </c>
      <c r="T129" s="137">
        <v>181.47424146120139</v>
      </c>
      <c r="U129" s="137">
        <v>171.16418265972732</v>
      </c>
      <c r="V129" s="137">
        <v>170.13284926238975</v>
      </c>
      <c r="W129" s="137">
        <v>179.98693212802431</v>
      </c>
      <c r="X129" s="137">
        <v>173.85730476155703</v>
      </c>
      <c r="Y129" s="137">
        <v>168.3318365211336</v>
      </c>
      <c r="Z129" s="137">
        <v>162.33536351074136</v>
      </c>
      <c r="AA129" s="137">
        <v>164.64260350813669</v>
      </c>
      <c r="AB129" s="137">
        <v>160.62327199131596</v>
      </c>
      <c r="AC129" s="137">
        <v>164.67710462119769</v>
      </c>
      <c r="AD129" s="137">
        <v>173.82560823340989</v>
      </c>
      <c r="AE129" s="137">
        <v>175.24000512870319</v>
      </c>
      <c r="AF129" s="137">
        <v>80.916623985351464</v>
      </c>
      <c r="AG129" s="137">
        <v>84.588550536069491</v>
      </c>
      <c r="AH129" s="137">
        <v>108.41913581781412</v>
      </c>
      <c r="AI129" s="351">
        <v>135.76684390297703</v>
      </c>
      <c r="AJ129" s="351">
        <f t="shared" ref="AJ129:AO129" si="67">SUM(AJ125:AJ128)</f>
        <v>153.99570032354447</v>
      </c>
      <c r="AK129" s="351">
        <v>172.22455674411188</v>
      </c>
      <c r="AL129" s="351">
        <f t="shared" si="67"/>
        <v>173.02580287065933</v>
      </c>
      <c r="AM129" s="351">
        <f t="shared" si="67"/>
        <v>173.8270489972067</v>
      </c>
      <c r="AN129" s="351">
        <v>174.6282951237541</v>
      </c>
      <c r="AO129" s="351">
        <f t="shared" si="67"/>
        <v>175.42954125030153</v>
      </c>
      <c r="AP129" s="351">
        <v>176.23078737684892</v>
      </c>
    </row>
    <row r="130" spans="1:42" ht="15">
      <c r="A130" s="422"/>
      <c r="B130" s="422"/>
      <c r="C130" s="422"/>
      <c r="D130" s="422"/>
      <c r="E130" s="422"/>
      <c r="F130" s="422"/>
      <c r="G130" s="422"/>
      <c r="H130" s="422"/>
      <c r="I130" s="422"/>
      <c r="J130" s="422"/>
      <c r="K130" s="422"/>
      <c r="L130" s="422"/>
      <c r="M130" s="422"/>
      <c r="N130" s="422"/>
      <c r="O130" s="422"/>
      <c r="P130" s="422"/>
      <c r="Q130" s="422"/>
      <c r="R130" s="422"/>
      <c r="S130" s="422"/>
      <c r="T130" s="422"/>
      <c r="U130" s="422"/>
      <c r="V130" s="422"/>
      <c r="W130" s="422"/>
      <c r="X130" s="422"/>
      <c r="Y130" s="422"/>
      <c r="Z130" s="422"/>
      <c r="AA130" s="422"/>
      <c r="AB130" s="422"/>
      <c r="AC130" s="70"/>
      <c r="AD130" s="70"/>
      <c r="AE130" s="70"/>
      <c r="AF130" s="70"/>
      <c r="AG130" s="70"/>
      <c r="AH130" s="70"/>
    </row>
    <row r="131" spans="1:42">
      <c r="A131" s="139" t="s">
        <v>468</v>
      </c>
      <c r="B131" s="140"/>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430" t="s">
        <v>393</v>
      </c>
      <c r="AJ131" s="430"/>
      <c r="AK131" s="430"/>
      <c r="AL131" s="430"/>
      <c r="AM131" s="430"/>
      <c r="AN131" s="430"/>
      <c r="AO131" s="430"/>
      <c r="AP131" s="430"/>
    </row>
    <row r="132" spans="1:42" ht="105.6">
      <c r="A132" s="75" t="s">
        <v>483</v>
      </c>
      <c r="B132" s="76">
        <v>1990</v>
      </c>
      <c r="C132" s="76">
        <v>1991</v>
      </c>
      <c r="D132" s="76">
        <v>1992</v>
      </c>
      <c r="E132" s="76">
        <v>1993</v>
      </c>
      <c r="F132" s="76">
        <v>1994</v>
      </c>
      <c r="G132" s="76">
        <v>1995</v>
      </c>
      <c r="H132" s="76">
        <v>1996</v>
      </c>
      <c r="I132" s="76">
        <v>1997</v>
      </c>
      <c r="J132" s="76">
        <v>1998</v>
      </c>
      <c r="K132" s="76">
        <v>1999</v>
      </c>
      <c r="L132" s="76">
        <v>2000</v>
      </c>
      <c r="M132" s="76">
        <v>2001</v>
      </c>
      <c r="N132" s="76">
        <v>2002</v>
      </c>
      <c r="O132" s="76">
        <v>2003</v>
      </c>
      <c r="P132" s="76">
        <v>2004</v>
      </c>
      <c r="Q132" s="76">
        <v>2005</v>
      </c>
      <c r="R132" s="76">
        <v>2006</v>
      </c>
      <c r="S132" s="76">
        <v>2007</v>
      </c>
      <c r="T132" s="76">
        <v>2008</v>
      </c>
      <c r="U132" s="76">
        <v>2009</v>
      </c>
      <c r="V132" s="76">
        <v>2010</v>
      </c>
      <c r="W132" s="76">
        <v>2011</v>
      </c>
      <c r="X132" s="76">
        <v>2012</v>
      </c>
      <c r="Y132" s="76">
        <v>2013</v>
      </c>
      <c r="Z132" s="76">
        <v>2014</v>
      </c>
      <c r="AA132" s="76">
        <v>2015</v>
      </c>
      <c r="AB132" s="76">
        <v>2016</v>
      </c>
      <c r="AC132" s="76">
        <v>2017</v>
      </c>
      <c r="AD132" s="76">
        <v>2018</v>
      </c>
      <c r="AE132" s="76">
        <v>2019</v>
      </c>
      <c r="AF132" s="76">
        <v>2020</v>
      </c>
      <c r="AG132" s="77">
        <v>2021</v>
      </c>
      <c r="AH132" s="77" t="s">
        <v>395</v>
      </c>
      <c r="AI132" s="76">
        <v>2023</v>
      </c>
      <c r="AJ132" s="152">
        <v>2024</v>
      </c>
      <c r="AK132" s="76">
        <v>2025</v>
      </c>
      <c r="AL132" s="152">
        <v>2026</v>
      </c>
      <c r="AM132" s="152">
        <v>2027</v>
      </c>
      <c r="AN132" s="76">
        <v>2028</v>
      </c>
      <c r="AO132" s="152">
        <v>2029</v>
      </c>
      <c r="AP132" s="76">
        <v>2030</v>
      </c>
    </row>
    <row r="133" spans="1:42">
      <c r="A133" s="100" t="s">
        <v>102</v>
      </c>
      <c r="B133" s="92">
        <v>350.06793694839018</v>
      </c>
      <c r="C133" s="92">
        <v>299.40795043533285</v>
      </c>
      <c r="D133" s="92">
        <v>313.53042814917461</v>
      </c>
      <c r="E133" s="92">
        <v>303.2089043081624</v>
      </c>
      <c r="F133" s="92">
        <v>305.79608841281146</v>
      </c>
      <c r="G133" s="92">
        <v>292.75402678210952</v>
      </c>
      <c r="H133" s="92">
        <v>268.63417765181975</v>
      </c>
      <c r="I133" s="92">
        <v>282.987558019684</v>
      </c>
      <c r="J133" s="92">
        <v>282.02535371595565</v>
      </c>
      <c r="K133" s="92">
        <v>273.3693838263867</v>
      </c>
      <c r="L133" s="92">
        <v>315.41773046069909</v>
      </c>
      <c r="M133" s="92">
        <v>262.46032907661419</v>
      </c>
      <c r="N133" s="92">
        <v>246.7230803137663</v>
      </c>
      <c r="O133" s="92">
        <v>300.3572197433906</v>
      </c>
      <c r="P133" s="92">
        <v>234.7783034451208</v>
      </c>
      <c r="Q133" s="92">
        <v>244.25586906528258</v>
      </c>
      <c r="R133" s="92">
        <v>229.26724934940299</v>
      </c>
      <c r="S133" s="92">
        <v>223.66801556754126</v>
      </c>
      <c r="T133" s="92">
        <v>219.06751501005579</v>
      </c>
      <c r="U133" s="92">
        <v>229.2992267309773</v>
      </c>
      <c r="V133" s="92">
        <v>235.05742907075731</v>
      </c>
      <c r="W133" s="92">
        <v>234.4571006993842</v>
      </c>
      <c r="X133" s="92">
        <v>236.29858762290141</v>
      </c>
      <c r="Y133" s="92">
        <v>195.66343924479645</v>
      </c>
      <c r="Z133" s="92">
        <v>232.25353102553677</v>
      </c>
      <c r="AA133" s="92">
        <v>238.04023458375835</v>
      </c>
      <c r="AB133" s="92">
        <v>251.31573076492305</v>
      </c>
      <c r="AC133" s="92">
        <v>265.17101148282308</v>
      </c>
      <c r="AD133" s="92">
        <v>269.69335143496772</v>
      </c>
      <c r="AE133" s="92">
        <v>284.91841788179187</v>
      </c>
      <c r="AF133" s="92">
        <v>266.2864646279387</v>
      </c>
      <c r="AG133" s="92">
        <v>266.91401557489064</v>
      </c>
      <c r="AH133" s="92">
        <v>271.74984764619319</v>
      </c>
      <c r="AI133" s="338">
        <v>266.2864646279387</v>
      </c>
      <c r="AJ133" s="338">
        <f>AI133+(AK133-AI133)/2</f>
        <v>266.2864646279387</v>
      </c>
      <c r="AK133" s="338">
        <v>266.2864646279387</v>
      </c>
      <c r="AL133" s="338">
        <f>AK133+(AN133-AK133)/3</f>
        <v>266.2864646279387</v>
      </c>
      <c r="AM133" s="338">
        <f>AK133+(AN133-AK133)*2/3</f>
        <v>266.2864646279387</v>
      </c>
      <c r="AN133" s="338">
        <v>266.2864646279387</v>
      </c>
      <c r="AO133" s="338">
        <f>AN133+(AP133-AN133)/2</f>
        <v>266.2864646279387</v>
      </c>
      <c r="AP133" s="338">
        <v>266.2864646279387</v>
      </c>
    </row>
    <row r="134" spans="1:42">
      <c r="A134" s="100" t="s">
        <v>469</v>
      </c>
      <c r="B134" s="92">
        <v>1681.4596980262859</v>
      </c>
      <c r="C134" s="92">
        <v>1644.8235044255114</v>
      </c>
      <c r="D134" s="92">
        <v>1590.6497528445864</v>
      </c>
      <c r="E134" s="92">
        <v>1538.1720548861647</v>
      </c>
      <c r="F134" s="92">
        <v>1476.1406422335147</v>
      </c>
      <c r="G134" s="92">
        <v>1395.8433302280423</v>
      </c>
      <c r="H134" s="92">
        <v>1311.2245616106945</v>
      </c>
      <c r="I134" s="92">
        <v>1244.4222534947355</v>
      </c>
      <c r="J134" s="92">
        <v>1176.7918862970628</v>
      </c>
      <c r="K134" s="92">
        <v>1096.2958547922804</v>
      </c>
      <c r="L134" s="92">
        <v>1015.6151406523096</v>
      </c>
      <c r="M134" s="92">
        <v>943.87111646959397</v>
      </c>
      <c r="N134" s="92">
        <v>923.92995222407126</v>
      </c>
      <c r="O134" s="92">
        <v>925.40339830652488</v>
      </c>
      <c r="P134" s="92">
        <v>957.36288565595964</v>
      </c>
      <c r="Q134" s="92">
        <v>936.50357469223002</v>
      </c>
      <c r="R134" s="92">
        <v>960.51326575414146</v>
      </c>
      <c r="S134" s="92">
        <v>965.27755400011688</v>
      </c>
      <c r="T134" s="92">
        <v>961.0048121094427</v>
      </c>
      <c r="U134" s="92">
        <v>941.68806952893442</v>
      </c>
      <c r="V134" s="92">
        <v>930.12279800426916</v>
      </c>
      <c r="W134" s="92">
        <v>883.86161032007237</v>
      </c>
      <c r="X134" s="92">
        <v>818.04828033421904</v>
      </c>
      <c r="Y134" s="92">
        <v>785.22782510161255</v>
      </c>
      <c r="Z134" s="92">
        <v>745.21806757180207</v>
      </c>
      <c r="AA134" s="92">
        <v>720.48803414257191</v>
      </c>
      <c r="AB134" s="92">
        <v>672.37812697565835</v>
      </c>
      <c r="AC134" s="92">
        <v>629.29580107386721</v>
      </c>
      <c r="AD134" s="92">
        <v>591.34831732145631</v>
      </c>
      <c r="AE134" s="92">
        <v>555.5400833353101</v>
      </c>
      <c r="AF134" s="92">
        <v>496.93412634860829</v>
      </c>
      <c r="AG134" s="92">
        <v>509.62456875352672</v>
      </c>
      <c r="AH134" s="92">
        <v>509.62456875352672</v>
      </c>
      <c r="AI134" s="338">
        <v>496.31909634233648</v>
      </c>
      <c r="AJ134" s="338">
        <f t="shared" ref="AJ134:AJ137" si="68">AI134+(AK134-AI134)/2</f>
        <v>496.11408634024588</v>
      </c>
      <c r="AK134" s="338">
        <v>495.90907633815527</v>
      </c>
      <c r="AL134" s="338">
        <f t="shared" ref="AL134:AL137" si="69">AK134+(AN134-AK134)/3</f>
        <v>495.70406633606473</v>
      </c>
      <c r="AM134" s="338">
        <f t="shared" ref="AM134:AM137" si="70">AK134+(AN134-AK134)*2/3</f>
        <v>495.49905633397412</v>
      </c>
      <c r="AN134" s="338">
        <v>495.29404633188358</v>
      </c>
      <c r="AO134" s="338">
        <f t="shared" ref="AO134:AO137" si="71">AN134+(AP134-AN134)/2</f>
        <v>495.08903632979298</v>
      </c>
      <c r="AP134" s="338">
        <v>494.88402632770237</v>
      </c>
    </row>
    <row r="135" spans="1:42">
      <c r="A135" s="100" t="s">
        <v>470</v>
      </c>
      <c r="B135" s="92">
        <v>61.472219389302929</v>
      </c>
      <c r="C135" s="92">
        <v>67.505302231975833</v>
      </c>
      <c r="D135" s="92">
        <v>71.37361863441366</v>
      </c>
      <c r="E135" s="92">
        <v>73.702176355496036</v>
      </c>
      <c r="F135" s="92">
        <v>69.56329435754273</v>
      </c>
      <c r="G135" s="92">
        <v>66.518700922796</v>
      </c>
      <c r="H135" s="92">
        <v>66.17370457472137</v>
      </c>
      <c r="I135" s="92">
        <v>65.975911123976601</v>
      </c>
      <c r="J135" s="92">
        <v>65.432363926070764</v>
      </c>
      <c r="K135" s="92">
        <v>82.588759463836197</v>
      </c>
      <c r="L135" s="92">
        <v>93.356664087727339</v>
      </c>
      <c r="M135" s="92">
        <v>83.704137689309192</v>
      </c>
      <c r="N135" s="92">
        <v>97.800903886652307</v>
      </c>
      <c r="O135" s="92">
        <v>75.582654001269475</v>
      </c>
      <c r="P135" s="92">
        <v>73.214799264683307</v>
      </c>
      <c r="Q135" s="92">
        <v>79.899338268849661</v>
      </c>
      <c r="R135" s="92">
        <v>84.421576129847992</v>
      </c>
      <c r="S135" s="92">
        <v>72.16069005859741</v>
      </c>
      <c r="T135" s="92">
        <v>90.1930231448504</v>
      </c>
      <c r="U135" s="92">
        <v>95.637982560671603</v>
      </c>
      <c r="V135" s="92">
        <v>83.054026392629666</v>
      </c>
      <c r="W135" s="92">
        <v>69.845582574447377</v>
      </c>
      <c r="X135" s="92">
        <v>63.811700678213654</v>
      </c>
      <c r="Y135" s="92">
        <v>68.019357161524852</v>
      </c>
      <c r="Z135" s="92">
        <v>63.588766968143794</v>
      </c>
      <c r="AA135" s="92">
        <v>62.780254609305224</v>
      </c>
      <c r="AB135" s="92">
        <v>63.998866640637033</v>
      </c>
      <c r="AC135" s="92">
        <v>64.619201157535144</v>
      </c>
      <c r="AD135" s="92">
        <v>61.763305459030533</v>
      </c>
      <c r="AE135" s="92">
        <v>60.817341140429335</v>
      </c>
      <c r="AF135" s="92">
        <v>59.418784049112134</v>
      </c>
      <c r="AG135" s="92">
        <v>60.552586366492392</v>
      </c>
      <c r="AH135" s="92">
        <v>60.552586366492392</v>
      </c>
      <c r="AI135" s="338">
        <v>59.327002191192364</v>
      </c>
      <c r="AJ135" s="338">
        <f t="shared" si="68"/>
        <v>59.296408238552431</v>
      </c>
      <c r="AK135" s="338">
        <v>59.265814285912505</v>
      </c>
      <c r="AL135" s="338">
        <f t="shared" si="69"/>
        <v>59.235220333272579</v>
      </c>
      <c r="AM135" s="338">
        <f t="shared" si="70"/>
        <v>59.204626380632654</v>
      </c>
      <c r="AN135" s="338">
        <v>59.174032427992728</v>
      </c>
      <c r="AO135" s="338">
        <f t="shared" si="71"/>
        <v>59.143438475352802</v>
      </c>
      <c r="AP135" s="338">
        <v>59.112844522712876</v>
      </c>
    </row>
    <row r="136" spans="1:42">
      <c r="A136" s="100" t="s">
        <v>104</v>
      </c>
      <c r="B136" s="92">
        <v>4.0939589981567295</v>
      </c>
      <c r="C136" s="92">
        <v>4.5631397138233973</v>
      </c>
      <c r="D136" s="92">
        <v>4.8405540451567308</v>
      </c>
      <c r="E136" s="92">
        <v>5.1309061181567319</v>
      </c>
      <c r="F136" s="92">
        <v>5.4385585218233974</v>
      </c>
      <c r="G136" s="92">
        <v>5.7520966991567315</v>
      </c>
      <c r="H136" s="92">
        <v>6.3094909504900647</v>
      </c>
      <c r="I136" s="92">
        <v>6.9329107291567311</v>
      </c>
      <c r="J136" s="92">
        <v>7.5611872864900631</v>
      </c>
      <c r="K136" s="92">
        <v>8.1959652654900648</v>
      </c>
      <c r="L136" s="92">
        <v>8.1725296371567318</v>
      </c>
      <c r="M136" s="92">
        <v>8.6873689694900644</v>
      </c>
      <c r="N136" s="92">
        <v>9.004947336823399</v>
      </c>
      <c r="O136" s="92">
        <v>9.3631662454900635</v>
      </c>
      <c r="P136" s="92">
        <v>9.6745366344900638</v>
      </c>
      <c r="Q136" s="92">
        <v>9.8652400154900644</v>
      </c>
      <c r="R136" s="92">
        <v>9.6668169371567298</v>
      </c>
      <c r="S136" s="92">
        <v>10.557665811823398</v>
      </c>
      <c r="T136" s="92">
        <v>10.840109684156729</v>
      </c>
      <c r="U136" s="92">
        <v>11.259178767836966</v>
      </c>
      <c r="V136" s="92">
        <v>11.666824805170299</v>
      </c>
      <c r="W136" s="92">
        <v>11.942421342503634</v>
      </c>
      <c r="X136" s="92">
        <v>11.735602286836965</v>
      </c>
      <c r="Y136" s="92">
        <v>15.226399710503637</v>
      </c>
      <c r="Z136" s="92">
        <v>16.841081368836967</v>
      </c>
      <c r="AA136" s="92">
        <v>19.370758984503631</v>
      </c>
      <c r="AB136" s="92">
        <v>20.919714511038642</v>
      </c>
      <c r="AC136" s="92">
        <v>22.484441231371967</v>
      </c>
      <c r="AD136" s="92">
        <v>22.206918850705307</v>
      </c>
      <c r="AE136" s="92">
        <v>21.697267246705305</v>
      </c>
      <c r="AF136" s="92">
        <v>21.323027886705304</v>
      </c>
      <c r="AG136" s="92">
        <v>20.079852095705302</v>
      </c>
      <c r="AH136" s="92">
        <v>20.079852095705302</v>
      </c>
      <c r="AI136" s="338">
        <v>21.314975114567517</v>
      </c>
      <c r="AJ136" s="338">
        <f t="shared" si="68"/>
        <v>21.312290857188252</v>
      </c>
      <c r="AK136" s="338">
        <v>21.309606599808991</v>
      </c>
      <c r="AL136" s="338">
        <f t="shared" si="69"/>
        <v>21.306922342429726</v>
      </c>
      <c r="AM136" s="338">
        <f t="shared" si="70"/>
        <v>21.304238085050464</v>
      </c>
      <c r="AN136" s="338">
        <v>21.301553827671199</v>
      </c>
      <c r="AO136" s="338">
        <f t="shared" si="71"/>
        <v>21.298869570291934</v>
      </c>
      <c r="AP136" s="338">
        <v>21.296185312912673</v>
      </c>
    </row>
    <row r="137" spans="1:42" ht="24">
      <c r="A137" s="100" t="s">
        <v>105</v>
      </c>
      <c r="B137" s="92">
        <v>227.33492379852501</v>
      </c>
      <c r="C137" s="92">
        <v>260.42174289980943</v>
      </c>
      <c r="D137" s="92">
        <v>298.81779627942734</v>
      </c>
      <c r="E137" s="92">
        <v>275.62254900537835</v>
      </c>
      <c r="F137" s="92">
        <v>227.72241476999619</v>
      </c>
      <c r="G137" s="92">
        <v>185.00222912161399</v>
      </c>
      <c r="H137" s="92">
        <v>185.19220341789841</v>
      </c>
      <c r="I137" s="92">
        <v>184.12228051151627</v>
      </c>
      <c r="J137" s="92">
        <v>183.86349230680071</v>
      </c>
      <c r="K137" s="92">
        <v>184.75500138575183</v>
      </c>
      <c r="L137" s="92">
        <v>162.18203257070297</v>
      </c>
      <c r="M137" s="92">
        <v>221.14920014032074</v>
      </c>
      <c r="N137" s="92">
        <v>276.64238769860526</v>
      </c>
      <c r="O137" s="92">
        <v>294.73001444522299</v>
      </c>
      <c r="P137" s="92">
        <v>293.32987295417422</v>
      </c>
      <c r="Q137" s="92">
        <v>283.99839774512532</v>
      </c>
      <c r="R137" s="92">
        <v>242.09898728640974</v>
      </c>
      <c r="S137" s="92">
        <v>272.43400596636081</v>
      </c>
      <c r="T137" s="92">
        <v>272.09905405864532</v>
      </c>
      <c r="U137" s="92">
        <v>254.02620940302307</v>
      </c>
      <c r="V137" s="92">
        <v>237.61342057386872</v>
      </c>
      <c r="W137" s="92">
        <v>221.16780534671443</v>
      </c>
      <c r="X137" s="92">
        <v>199.09751397456017</v>
      </c>
      <c r="Y137" s="92">
        <v>277.07694922540577</v>
      </c>
      <c r="Z137" s="92">
        <v>287.4981969772515</v>
      </c>
      <c r="AA137" s="92">
        <v>273.76648406209716</v>
      </c>
      <c r="AB137" s="92">
        <v>259.24998996605649</v>
      </c>
      <c r="AC137" s="92">
        <v>246.10553901730447</v>
      </c>
      <c r="AD137" s="92">
        <v>214.66353551321907</v>
      </c>
      <c r="AE137" s="92">
        <v>195.62354176113377</v>
      </c>
      <c r="AF137" s="92">
        <v>201.82257412904846</v>
      </c>
      <c r="AG137" s="92">
        <v>224.24289336262976</v>
      </c>
      <c r="AH137" s="92">
        <v>224.24289336262976</v>
      </c>
      <c r="AI137" s="338">
        <v>200.81367928319426</v>
      </c>
      <c r="AJ137" s="338">
        <f t="shared" si="68"/>
        <v>200.47738100124286</v>
      </c>
      <c r="AK137" s="338">
        <v>200.14108271929149</v>
      </c>
      <c r="AL137" s="338">
        <f t="shared" si="69"/>
        <v>199.80478443734009</v>
      </c>
      <c r="AM137" s="338">
        <f t="shared" si="70"/>
        <v>199.46848615538872</v>
      </c>
      <c r="AN137" s="338">
        <v>199.13218787343732</v>
      </c>
      <c r="AO137" s="338">
        <f t="shared" si="71"/>
        <v>198.79588959148595</v>
      </c>
      <c r="AP137" s="338">
        <v>198.45959130953457</v>
      </c>
    </row>
    <row r="138" spans="1:42">
      <c r="A138" s="100" t="s">
        <v>471</v>
      </c>
      <c r="B138" s="92">
        <v>4.9695349476666673</v>
      </c>
      <c r="C138" s="92">
        <v>4.9698330550000005</v>
      </c>
      <c r="D138" s="92">
        <v>4.9585749363333349</v>
      </c>
      <c r="E138" s="92">
        <v>4.9436932783333329</v>
      </c>
      <c r="F138" s="92">
        <v>4.9196760103333341</v>
      </c>
      <c r="G138" s="92">
        <v>4.9052968983333338</v>
      </c>
      <c r="H138" s="92">
        <v>4.8649902216666669</v>
      </c>
      <c r="I138" s="92">
        <v>4.8165083303333329</v>
      </c>
      <c r="J138" s="92">
        <v>4.7649237130000008</v>
      </c>
      <c r="K138" s="92">
        <v>4.7079558679999991</v>
      </c>
      <c r="L138" s="92">
        <v>4.6390950173333341</v>
      </c>
      <c r="M138" s="92">
        <v>4.6226548059999999</v>
      </c>
      <c r="N138" s="92">
        <v>4.5721069569999999</v>
      </c>
      <c r="O138" s="92">
        <v>4.5290842776666675</v>
      </c>
      <c r="P138" s="92">
        <v>4.4921797946666651</v>
      </c>
      <c r="Q138" s="92">
        <v>4.4433065159999989</v>
      </c>
      <c r="R138" s="92">
        <v>4.3760100486666662</v>
      </c>
      <c r="S138" s="92">
        <v>4.3466680473333339</v>
      </c>
      <c r="T138" s="92">
        <v>4.2751355019999995</v>
      </c>
      <c r="U138" s="92">
        <v>4.2189253626666678</v>
      </c>
      <c r="V138" s="92">
        <v>4.1731501460000002</v>
      </c>
      <c r="W138" s="92">
        <v>4.1172495796666677</v>
      </c>
      <c r="X138" s="92">
        <v>4.0589517173333327</v>
      </c>
      <c r="Y138" s="92">
        <v>4.1700998899999995</v>
      </c>
      <c r="Z138" s="92">
        <v>4.2003441810000002</v>
      </c>
      <c r="AA138" s="92">
        <v>4.2124517306666656</v>
      </c>
      <c r="AB138" s="92">
        <v>4.2419727130000018</v>
      </c>
      <c r="AC138" s="92">
        <v>4.2848195206666668</v>
      </c>
      <c r="AD138" s="92">
        <v>4.3262900596666656</v>
      </c>
      <c r="AE138" s="92">
        <v>4.3659937199999996</v>
      </c>
      <c r="AF138" s="92">
        <v>4.4105722319999989</v>
      </c>
      <c r="AG138" s="92">
        <v>4.4206907800000002</v>
      </c>
      <c r="AH138" s="92">
        <v>4.4206907800000002</v>
      </c>
      <c r="AI138" s="338">
        <v>4.410572231999998</v>
      </c>
      <c r="AJ138" s="338">
        <f>AI138+(AK138-AI138)/2</f>
        <v>4.410572231999998</v>
      </c>
      <c r="AK138" s="338">
        <v>4.410572231999998</v>
      </c>
      <c r="AL138" s="338">
        <f>AK138+(AN138-AK138)/3</f>
        <v>4.410572231999998</v>
      </c>
      <c r="AM138" s="338">
        <f>AK138+(AN138-AK138)*2/3</f>
        <v>4.410572231999998</v>
      </c>
      <c r="AN138" s="338">
        <v>4.410572231999998</v>
      </c>
      <c r="AO138" s="338">
        <f>AN138+(AP138-AN138)/2</f>
        <v>4.410572231999998</v>
      </c>
      <c r="AP138" s="338">
        <v>4.410572231999998</v>
      </c>
    </row>
    <row r="139" spans="1:42">
      <c r="A139" s="100" t="s">
        <v>207</v>
      </c>
      <c r="B139" s="92">
        <v>0</v>
      </c>
      <c r="C139" s="92">
        <v>0</v>
      </c>
      <c r="D139" s="92">
        <v>0</v>
      </c>
      <c r="E139" s="92">
        <v>0</v>
      </c>
      <c r="F139" s="92">
        <v>0</v>
      </c>
      <c r="G139" s="92">
        <v>0</v>
      </c>
      <c r="H139" s="92">
        <v>0</v>
      </c>
      <c r="I139" s="92">
        <v>0</v>
      </c>
      <c r="J139" s="92">
        <v>0</v>
      </c>
      <c r="K139" s="92">
        <v>0</v>
      </c>
      <c r="L139" s="92">
        <v>0</v>
      </c>
      <c r="M139" s="92">
        <v>0</v>
      </c>
      <c r="N139" s="92">
        <v>0</v>
      </c>
      <c r="O139" s="92">
        <v>0</v>
      </c>
      <c r="P139" s="92">
        <v>0</v>
      </c>
      <c r="Q139" s="92">
        <v>0</v>
      </c>
      <c r="R139" s="92">
        <v>0</v>
      </c>
      <c r="S139" s="92">
        <v>0</v>
      </c>
      <c r="T139" s="92">
        <v>0</v>
      </c>
      <c r="U139" s="92">
        <v>0</v>
      </c>
      <c r="V139" s="92">
        <v>0</v>
      </c>
      <c r="W139" s="92">
        <v>0</v>
      </c>
      <c r="X139" s="92">
        <v>0</v>
      </c>
      <c r="Y139" s="92">
        <v>0</v>
      </c>
      <c r="Z139" s="92">
        <v>0</v>
      </c>
      <c r="AA139" s="92">
        <v>0</v>
      </c>
      <c r="AB139" s="92">
        <v>0</v>
      </c>
      <c r="AC139" s="92">
        <v>0</v>
      </c>
      <c r="AD139" s="92">
        <v>0</v>
      </c>
      <c r="AE139" s="92">
        <v>0</v>
      </c>
      <c r="AF139" s="92">
        <v>0</v>
      </c>
      <c r="AG139" s="92">
        <v>0</v>
      </c>
      <c r="AH139" s="92">
        <v>0</v>
      </c>
      <c r="AI139" s="338">
        <v>0</v>
      </c>
      <c r="AJ139" s="338">
        <f t="shared" ref="AJ139:AJ140" si="72">AI139+(AK139-AI139)/2</f>
        <v>0</v>
      </c>
      <c r="AK139" s="338">
        <v>0</v>
      </c>
      <c r="AL139" s="338">
        <f t="shared" ref="AL139:AL140" si="73">AK139+(AN139-AK139)/3</f>
        <v>0</v>
      </c>
      <c r="AM139" s="338">
        <f t="shared" ref="AM139:AM140" si="74">AK139+(AN139-AK139)*2/3</f>
        <v>0</v>
      </c>
      <c r="AN139" s="338">
        <v>0</v>
      </c>
      <c r="AO139" s="338">
        <f t="shared" ref="AO139:AO140" si="75">AN139+(AP139-AN139)/2</f>
        <v>0</v>
      </c>
      <c r="AP139" s="338">
        <v>0</v>
      </c>
    </row>
    <row r="140" spans="1:42">
      <c r="A140" s="100" t="s">
        <v>472</v>
      </c>
      <c r="B140" s="92">
        <v>0</v>
      </c>
      <c r="C140" s="92">
        <v>0</v>
      </c>
      <c r="D140" s="92">
        <v>0</v>
      </c>
      <c r="E140" s="92">
        <v>0</v>
      </c>
      <c r="F140" s="92">
        <v>0</v>
      </c>
      <c r="G140" s="92">
        <v>0</v>
      </c>
      <c r="H140" s="92">
        <v>0</v>
      </c>
      <c r="I140" s="92">
        <v>0</v>
      </c>
      <c r="J140" s="92">
        <v>0</v>
      </c>
      <c r="K140" s="92">
        <v>0</v>
      </c>
      <c r="L140" s="92">
        <v>0</v>
      </c>
      <c r="M140" s="92">
        <v>0</v>
      </c>
      <c r="N140" s="92">
        <v>0</v>
      </c>
      <c r="O140" s="92">
        <v>0</v>
      </c>
      <c r="P140" s="92">
        <v>0</v>
      </c>
      <c r="Q140" s="92">
        <v>0</v>
      </c>
      <c r="R140" s="92">
        <v>0</v>
      </c>
      <c r="S140" s="92">
        <v>0</v>
      </c>
      <c r="T140" s="92">
        <v>0</v>
      </c>
      <c r="U140" s="92">
        <v>0</v>
      </c>
      <c r="V140" s="92">
        <v>0</v>
      </c>
      <c r="W140" s="92">
        <v>0</v>
      </c>
      <c r="X140" s="92">
        <v>0</v>
      </c>
      <c r="Y140" s="92">
        <v>0</v>
      </c>
      <c r="Z140" s="92">
        <v>0</v>
      </c>
      <c r="AA140" s="92">
        <v>0</v>
      </c>
      <c r="AB140" s="92">
        <v>0</v>
      </c>
      <c r="AC140" s="92">
        <v>0</v>
      </c>
      <c r="AD140" s="92">
        <v>0</v>
      </c>
      <c r="AE140" s="92">
        <v>0</v>
      </c>
      <c r="AF140" s="92">
        <v>0</v>
      </c>
      <c r="AG140" s="92">
        <v>0</v>
      </c>
      <c r="AH140" s="92">
        <v>0</v>
      </c>
      <c r="AI140" s="338">
        <v>0</v>
      </c>
      <c r="AJ140" s="338">
        <f t="shared" si="72"/>
        <v>0</v>
      </c>
      <c r="AK140" s="338">
        <v>0</v>
      </c>
      <c r="AL140" s="338">
        <f t="shared" si="73"/>
        <v>0</v>
      </c>
      <c r="AM140" s="338">
        <f t="shared" si="74"/>
        <v>0</v>
      </c>
      <c r="AN140" s="338">
        <v>0</v>
      </c>
      <c r="AO140" s="338">
        <f t="shared" si="75"/>
        <v>0</v>
      </c>
      <c r="AP140" s="338">
        <v>0</v>
      </c>
    </row>
    <row r="141" spans="1:42">
      <c r="A141" s="141" t="s">
        <v>473</v>
      </c>
      <c r="B141" s="142">
        <v>2329.3982721083271</v>
      </c>
      <c r="C141" s="142">
        <v>2281.6914727614526</v>
      </c>
      <c r="D141" s="142">
        <v>2284.1707248890921</v>
      </c>
      <c r="E141" s="142">
        <v>2200.7802839516912</v>
      </c>
      <c r="F141" s="142">
        <v>2089.5806743060216</v>
      </c>
      <c r="G141" s="142">
        <v>1950.7756806520517</v>
      </c>
      <c r="H141" s="142">
        <v>1842.3991284272906</v>
      </c>
      <c r="I141" s="142">
        <v>1789.2574222094024</v>
      </c>
      <c r="J141" s="142">
        <v>1720.43920724538</v>
      </c>
      <c r="K141" s="142">
        <v>1649.9129206017449</v>
      </c>
      <c r="L141" s="142">
        <v>1599.3831924259291</v>
      </c>
      <c r="M141" s="142">
        <v>1524.4948071513281</v>
      </c>
      <c r="N141" s="142">
        <v>1558.6733784169185</v>
      </c>
      <c r="O141" s="142">
        <v>1609.9655370195646</v>
      </c>
      <c r="P141" s="142">
        <v>1572.852577749095</v>
      </c>
      <c r="Q141" s="142">
        <v>1558.9657263029778</v>
      </c>
      <c r="R141" s="142">
        <v>1530.3439055056256</v>
      </c>
      <c r="S141" s="142">
        <v>1548.4445994517732</v>
      </c>
      <c r="T141" s="142">
        <v>1557.4796495091509</v>
      </c>
      <c r="U141" s="142">
        <v>1536.1295923541102</v>
      </c>
      <c r="V141" s="142">
        <v>1501.6876489926951</v>
      </c>
      <c r="W141" s="142">
        <v>1425.3917698627886</v>
      </c>
      <c r="X141" s="142">
        <v>1333.0506366140642</v>
      </c>
      <c r="Y141" s="142">
        <v>1345.3840703338433</v>
      </c>
      <c r="Z141" s="142">
        <v>1349.5999880925713</v>
      </c>
      <c r="AA141" s="142">
        <v>1318.6582181129029</v>
      </c>
      <c r="AB141" s="142">
        <v>1272.1044015713135</v>
      </c>
      <c r="AC141" s="142">
        <v>1231.9608134835685</v>
      </c>
      <c r="AD141" s="142">
        <v>1164.0017186390457</v>
      </c>
      <c r="AE141" s="142">
        <v>1122.9626450853702</v>
      </c>
      <c r="AF141" s="142">
        <v>1050.1955492734128</v>
      </c>
      <c r="AG141" s="142">
        <v>1085.8346069332449</v>
      </c>
      <c r="AH141" s="142">
        <v>1090.6704390045475</v>
      </c>
      <c r="AI141" s="146">
        <v>1048.4717897912294</v>
      </c>
      <c r="AJ141" s="146">
        <f>SUM(AJ133:AJ140)</f>
        <v>1047.8972032971683</v>
      </c>
      <c r="AK141" s="146">
        <v>1047.3226168031069</v>
      </c>
      <c r="AL141" s="146">
        <f t="shared" ref="AL141:AO141" si="76">SUM(AL133:AL140)</f>
        <v>1046.7480303090458</v>
      </c>
      <c r="AM141" s="146">
        <f t="shared" si="76"/>
        <v>1046.1734438149847</v>
      </c>
      <c r="AN141" s="146">
        <v>1045.5988573209236</v>
      </c>
      <c r="AO141" s="146">
        <f t="shared" si="76"/>
        <v>1045.0242708268624</v>
      </c>
      <c r="AP141" s="146">
        <v>1044.4496843328011</v>
      </c>
    </row>
  </sheetData>
  <mergeCells count="24">
    <mergeCell ref="AI50:AP50"/>
    <mergeCell ref="AI109:AP109"/>
    <mergeCell ref="AI110:AP110"/>
    <mergeCell ref="AI111:AP111"/>
    <mergeCell ref="AI112:AP112"/>
    <mergeCell ref="AP88:AP89"/>
    <mergeCell ref="AI93:AP93"/>
    <mergeCell ref="A2:BG2"/>
    <mergeCell ref="AI5:AP5"/>
    <mergeCell ref="AI21:AP21"/>
    <mergeCell ref="AI23:AP23"/>
    <mergeCell ref="AI37:AP37"/>
    <mergeCell ref="A130:AB130"/>
    <mergeCell ref="AI131:AP131"/>
    <mergeCell ref="AI58:AP58"/>
    <mergeCell ref="A74:AB74"/>
    <mergeCell ref="AI75:AP75"/>
    <mergeCell ref="AI88:AI89"/>
    <mergeCell ref="AJ88:AJ89"/>
    <mergeCell ref="AK88:AK89"/>
    <mergeCell ref="AL88:AL89"/>
    <mergeCell ref="AM88:AM89"/>
    <mergeCell ref="AN88:AN89"/>
    <mergeCell ref="AO88:AO8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41"/>
  <sheetViews>
    <sheetView showGridLines="0" zoomScale="70" zoomScaleNormal="70" workbookViewId="0"/>
  </sheetViews>
  <sheetFormatPr baseColWidth="10" defaultColWidth="11.44140625" defaultRowHeight="14.4" outlineLevelCol="1"/>
  <cols>
    <col min="3" max="6" width="0" hidden="1" customWidth="1" outlineLevel="1"/>
    <col min="7" max="7" width="11.5546875" collapsed="1"/>
    <col min="8" max="11" width="0" hidden="1" customWidth="1" outlineLevel="1"/>
    <col min="12" max="12" width="11.5546875" collapsed="1"/>
    <col min="13" max="16" width="0" hidden="1" customWidth="1" outlineLevel="1"/>
    <col min="17" max="17" width="11.5546875" collapsed="1"/>
    <col min="18" max="21" width="0" hidden="1" customWidth="1" outlineLevel="1"/>
    <col min="22" max="22" width="11.5546875" collapsed="1"/>
    <col min="23" max="26" width="0" hidden="1" customWidth="1" outlineLevel="1"/>
    <col min="27" max="27" width="11.5546875" collapsed="1"/>
  </cols>
  <sheetData>
    <row r="1" spans="1:59" ht="29.4">
      <c r="A1" s="64" t="s">
        <v>478</v>
      </c>
      <c r="B1" s="65" t="s">
        <v>479</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t="s">
        <v>479</v>
      </c>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row>
    <row r="2" spans="1:59" ht="15">
      <c r="A2" s="419" t="s">
        <v>480</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row>
    <row r="3" spans="1:59" ht="15">
      <c r="A3" s="68" t="s">
        <v>391</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row>
    <row r="4" spans="1:59" ht="22.2">
      <c r="A4" s="69"/>
      <c r="B4" s="70"/>
      <c r="C4" s="70"/>
      <c r="D4" s="70"/>
      <c r="E4" s="70"/>
      <c r="F4" s="70"/>
      <c r="G4" s="70"/>
      <c r="H4" s="70"/>
      <c r="I4" s="70"/>
      <c r="J4" s="70"/>
      <c r="K4" s="70"/>
      <c r="L4" s="70"/>
      <c r="M4" s="70"/>
      <c r="N4" s="70"/>
      <c r="O4" s="70"/>
      <c r="P4" s="70"/>
      <c r="Q4" s="70"/>
      <c r="R4" s="70"/>
      <c r="S4" s="70"/>
      <c r="T4" s="70"/>
      <c r="U4" s="70"/>
      <c r="V4" s="70"/>
      <c r="W4" s="70"/>
      <c r="X4" s="70"/>
      <c r="Y4" s="70"/>
      <c r="Z4" s="71"/>
      <c r="AA4" s="71"/>
      <c r="AB4" s="71"/>
      <c r="AC4" s="72"/>
      <c r="AD4" s="72"/>
      <c r="AE4" s="72"/>
      <c r="AF4" s="72"/>
      <c r="AG4" s="72"/>
      <c r="AH4" s="72"/>
    </row>
    <row r="5" spans="1:59" ht="18">
      <c r="A5" s="73" t="s">
        <v>392</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426" t="s">
        <v>393</v>
      </c>
      <c r="AJ5" s="426"/>
      <c r="AK5" s="426"/>
      <c r="AL5" s="426"/>
      <c r="AM5" s="426"/>
      <c r="AN5" s="426"/>
      <c r="AO5" s="426"/>
      <c r="AP5" s="426"/>
    </row>
    <row r="6" spans="1:59" ht="105.6">
      <c r="A6" s="75" t="s">
        <v>481</v>
      </c>
      <c r="B6" s="76">
        <v>1990</v>
      </c>
      <c r="C6" s="76">
        <v>1991</v>
      </c>
      <c r="D6" s="76">
        <v>1992</v>
      </c>
      <c r="E6" s="76">
        <v>1993</v>
      </c>
      <c r="F6" s="76">
        <v>1994</v>
      </c>
      <c r="G6" s="76">
        <v>1995</v>
      </c>
      <c r="H6" s="76">
        <v>1996</v>
      </c>
      <c r="I6" s="76">
        <v>1997</v>
      </c>
      <c r="J6" s="76">
        <v>1998</v>
      </c>
      <c r="K6" s="76">
        <v>1999</v>
      </c>
      <c r="L6" s="76">
        <v>2000</v>
      </c>
      <c r="M6" s="76">
        <v>2001</v>
      </c>
      <c r="N6" s="76">
        <v>2002</v>
      </c>
      <c r="O6" s="76">
        <v>2003</v>
      </c>
      <c r="P6" s="76">
        <v>2004</v>
      </c>
      <c r="Q6" s="76">
        <v>2005</v>
      </c>
      <c r="R6" s="76">
        <v>2006</v>
      </c>
      <c r="S6" s="76">
        <v>2007</v>
      </c>
      <c r="T6" s="76">
        <v>2008</v>
      </c>
      <c r="U6" s="76">
        <v>2009</v>
      </c>
      <c r="V6" s="76">
        <v>2010</v>
      </c>
      <c r="W6" s="76">
        <v>2011</v>
      </c>
      <c r="X6" s="76">
        <v>2012</v>
      </c>
      <c r="Y6" s="76">
        <v>2013</v>
      </c>
      <c r="Z6" s="76">
        <v>2014</v>
      </c>
      <c r="AA6" s="76">
        <v>2015</v>
      </c>
      <c r="AB6" s="76">
        <v>2016</v>
      </c>
      <c r="AC6" s="76">
        <v>2017</v>
      </c>
      <c r="AD6" s="76">
        <v>2018</v>
      </c>
      <c r="AE6" s="76">
        <v>2019</v>
      </c>
      <c r="AF6" s="77">
        <v>2020</v>
      </c>
      <c r="AG6" s="77">
        <v>2021</v>
      </c>
      <c r="AH6" s="77" t="s">
        <v>395</v>
      </c>
      <c r="AI6" s="76">
        <v>2023</v>
      </c>
      <c r="AJ6" s="152">
        <v>2024</v>
      </c>
      <c r="AK6" s="76">
        <v>2025</v>
      </c>
      <c r="AL6" s="152">
        <v>2026</v>
      </c>
      <c r="AM6" s="152">
        <v>2027</v>
      </c>
      <c r="AN6" s="76">
        <v>2028</v>
      </c>
      <c r="AO6" s="152">
        <v>2029</v>
      </c>
      <c r="AP6" s="76">
        <v>2030</v>
      </c>
    </row>
    <row r="7" spans="1:59">
      <c r="A7" s="78" t="s">
        <v>396</v>
      </c>
      <c r="B7" s="79">
        <v>521.41815115928091</v>
      </c>
      <c r="C7" s="79">
        <v>524.67701460402657</v>
      </c>
      <c r="D7" s="79">
        <v>527.935878048772</v>
      </c>
      <c r="E7" s="79">
        <v>531.19474149351743</v>
      </c>
      <c r="F7" s="79">
        <v>534.45360493826286</v>
      </c>
      <c r="G7" s="79">
        <v>537.94343674166328</v>
      </c>
      <c r="H7" s="79">
        <v>517.97081868622581</v>
      </c>
      <c r="I7" s="79">
        <v>497.70852388014418</v>
      </c>
      <c r="J7" s="79">
        <v>477.1565523234184</v>
      </c>
      <c r="K7" s="79">
        <v>464.89629827853582</v>
      </c>
      <c r="L7" s="79">
        <v>452.63604423365308</v>
      </c>
      <c r="M7" s="79">
        <v>440.78625395757967</v>
      </c>
      <c r="N7" s="79">
        <v>428.82031959258279</v>
      </c>
      <c r="O7" s="79">
        <v>416.73824113866237</v>
      </c>
      <c r="P7" s="79">
        <v>404.40797860454256</v>
      </c>
      <c r="Q7" s="79">
        <v>392.17782721977937</v>
      </c>
      <c r="R7" s="79">
        <v>386.23566960614266</v>
      </c>
      <c r="S7" s="79">
        <v>378.07033388467028</v>
      </c>
      <c r="T7" s="79">
        <v>369.09789870145215</v>
      </c>
      <c r="U7" s="79">
        <v>359.25553078475258</v>
      </c>
      <c r="V7" s="79">
        <v>306.65717290192254</v>
      </c>
      <c r="W7" s="79">
        <v>258.88105618779889</v>
      </c>
      <c r="X7" s="79">
        <v>254.15669630738341</v>
      </c>
      <c r="Y7" s="79">
        <v>235.16430457457028</v>
      </c>
      <c r="Z7" s="79">
        <v>201.59200316258546</v>
      </c>
      <c r="AA7" s="79">
        <v>217.04290255818734</v>
      </c>
      <c r="AB7" s="79">
        <v>218.69387656277252</v>
      </c>
      <c r="AC7" s="79">
        <v>189.56342647407521</v>
      </c>
      <c r="AD7" s="79">
        <v>200.39015924803272</v>
      </c>
      <c r="AE7" s="79">
        <v>185.27895696531542</v>
      </c>
      <c r="AF7" s="79">
        <v>186.3228652944272</v>
      </c>
      <c r="AG7" s="79">
        <v>174.2356944571342</v>
      </c>
      <c r="AH7" s="79">
        <v>174.2356944571342</v>
      </c>
      <c r="AI7" s="143">
        <v>185.05508334837745</v>
      </c>
      <c r="AJ7" s="143">
        <f>AI7+(AK7-AI7)/2</f>
        <v>184.77214733475813</v>
      </c>
      <c r="AK7" s="143">
        <v>184.48921132113884</v>
      </c>
      <c r="AL7" s="143">
        <f>AK7+(AN7-AK7)/3</f>
        <v>184.39735248031403</v>
      </c>
      <c r="AM7" s="143">
        <f>AK7+(AN7-AK7)*2/3</f>
        <v>184.30549363948921</v>
      </c>
      <c r="AN7" s="143">
        <v>184.2136347986644</v>
      </c>
      <c r="AO7" s="143">
        <f>AN7+(AP7-AN7)/2</f>
        <v>184.07942452865012</v>
      </c>
      <c r="AP7" s="143">
        <v>183.94521425863581</v>
      </c>
    </row>
    <row r="8" spans="1:59">
      <c r="A8" s="78" t="s">
        <v>397</v>
      </c>
      <c r="B8" s="79">
        <v>10478.752025733618</v>
      </c>
      <c r="C8" s="79">
        <v>10825.403342686359</v>
      </c>
      <c r="D8" s="79">
        <v>10228.229303386133</v>
      </c>
      <c r="E8" s="79">
        <v>8492.4089911243118</v>
      </c>
      <c r="F8" s="79">
        <v>7062.2722820531435</v>
      </c>
      <c r="G8" s="79">
        <v>5424.4581679579178</v>
      </c>
      <c r="H8" s="79">
        <v>5631.8500394753091</v>
      </c>
      <c r="I8" s="79">
        <v>5899.9006539484235</v>
      </c>
      <c r="J8" s="79">
        <v>6457.9452769511254</v>
      </c>
      <c r="K8" s="79">
        <v>7384.6177037869311</v>
      </c>
      <c r="L8" s="79">
        <v>6369.4725739699579</v>
      </c>
      <c r="M8" s="79">
        <v>6086.1370831392906</v>
      </c>
      <c r="N8" s="79">
        <v>7454.833315815089</v>
      </c>
      <c r="O8" s="79">
        <v>7295.6744036667578</v>
      </c>
      <c r="P8" s="79">
        <v>6603.1642846713085</v>
      </c>
      <c r="Q8" s="79">
        <v>5794.6994884155229</v>
      </c>
      <c r="R8" s="79">
        <v>5647.0934792075104</v>
      </c>
      <c r="S8" s="79">
        <v>5161.4602725951827</v>
      </c>
      <c r="T8" s="79">
        <v>5087.8101081947098</v>
      </c>
      <c r="U8" s="79">
        <v>4632.6619764043216</v>
      </c>
      <c r="V8" s="79">
        <v>4674.9794773134554</v>
      </c>
      <c r="W8" s="79">
        <v>4897.8405320748152</v>
      </c>
      <c r="X8" s="79">
        <v>4990.7014276788495</v>
      </c>
      <c r="Y8" s="79">
        <v>4756.4117788142639</v>
      </c>
      <c r="Z8" s="79">
        <v>4545.0729533947851</v>
      </c>
      <c r="AA8" s="79">
        <v>4562.60828222891</v>
      </c>
      <c r="AB8" s="79">
        <v>4606.5799875399762</v>
      </c>
      <c r="AC8" s="79">
        <v>4536.3285059832224</v>
      </c>
      <c r="AD8" s="79">
        <v>4105.7069428300347</v>
      </c>
      <c r="AE8" s="79">
        <v>3683.8496555380066</v>
      </c>
      <c r="AF8" s="79">
        <v>3337.5781437992928</v>
      </c>
      <c r="AG8" s="79">
        <v>2899.1160226798897</v>
      </c>
      <c r="AH8" s="79">
        <v>2675.0931873324166</v>
      </c>
      <c r="AI8" s="143">
        <v>1525.6405108572837</v>
      </c>
      <c r="AJ8" s="143">
        <f t="shared" ref="AJ8:AJ15" si="0">AI8+(AK8-AI8)/2</f>
        <v>1382.8423036716963</v>
      </c>
      <c r="AK8" s="143">
        <v>1240.0440964861091</v>
      </c>
      <c r="AL8" s="143">
        <f t="shared" ref="AL8:AL15" si="1">AK8+(AN8-AK8)/3</f>
        <v>1166.8773624522617</v>
      </c>
      <c r="AM8" s="143">
        <f t="shared" ref="AM8:AM15" si="2">AK8+(AN8-AK8)*2/3</f>
        <v>1093.7106284184142</v>
      </c>
      <c r="AN8" s="143">
        <v>1020.5438943845669</v>
      </c>
      <c r="AO8" s="143">
        <f t="shared" ref="AO8:AO15" si="3">AN8+(AP8-AN8)/2</f>
        <v>993.32300200819543</v>
      </c>
      <c r="AP8" s="143">
        <v>966.10210963182396</v>
      </c>
    </row>
    <row r="9" spans="1:59">
      <c r="A9" s="78" t="s">
        <v>398</v>
      </c>
      <c r="B9" s="79">
        <v>0</v>
      </c>
      <c r="C9" s="79">
        <v>0</v>
      </c>
      <c r="D9" s="79">
        <v>0</v>
      </c>
      <c r="E9" s="79">
        <v>0</v>
      </c>
      <c r="F9" s="79">
        <v>0</v>
      </c>
      <c r="G9" s="79">
        <v>0</v>
      </c>
      <c r="H9" s="79">
        <v>0</v>
      </c>
      <c r="I9" s="79">
        <v>0</v>
      </c>
      <c r="J9" s="79">
        <v>0</v>
      </c>
      <c r="K9" s="79">
        <v>0</v>
      </c>
      <c r="L9" s="79">
        <v>0</v>
      </c>
      <c r="M9" s="79">
        <v>0</v>
      </c>
      <c r="N9" s="79">
        <v>0</v>
      </c>
      <c r="O9" s="79">
        <v>0</v>
      </c>
      <c r="P9" s="79">
        <v>0</v>
      </c>
      <c r="Q9" s="79">
        <v>0</v>
      </c>
      <c r="R9" s="79">
        <v>0</v>
      </c>
      <c r="S9" s="79">
        <v>0</v>
      </c>
      <c r="T9" s="79">
        <v>0</v>
      </c>
      <c r="U9" s="79">
        <v>0</v>
      </c>
      <c r="V9" s="79">
        <v>0</v>
      </c>
      <c r="W9" s="79">
        <v>0</v>
      </c>
      <c r="X9" s="79">
        <v>0</v>
      </c>
      <c r="Y9" s="79">
        <v>0</v>
      </c>
      <c r="Z9" s="79">
        <v>0</v>
      </c>
      <c r="AA9" s="79">
        <v>0</v>
      </c>
      <c r="AB9" s="79">
        <v>0</v>
      </c>
      <c r="AC9" s="79">
        <v>0</v>
      </c>
      <c r="AD9" s="79">
        <v>0</v>
      </c>
      <c r="AE9" s="79">
        <v>0</v>
      </c>
      <c r="AF9" s="79">
        <v>0</v>
      </c>
      <c r="AG9" s="79">
        <v>0</v>
      </c>
      <c r="AH9" s="79">
        <v>0</v>
      </c>
      <c r="AI9" s="143">
        <v>0</v>
      </c>
      <c r="AJ9" s="143">
        <f t="shared" si="0"/>
        <v>0</v>
      </c>
      <c r="AK9" s="143">
        <v>0</v>
      </c>
      <c r="AL9" s="143">
        <f t="shared" si="1"/>
        <v>0</v>
      </c>
      <c r="AM9" s="143">
        <f t="shared" si="2"/>
        <v>0</v>
      </c>
      <c r="AN9" s="143">
        <v>0</v>
      </c>
      <c r="AO9" s="143">
        <f t="shared" si="3"/>
        <v>0</v>
      </c>
      <c r="AP9" s="143">
        <v>0</v>
      </c>
    </row>
    <row r="10" spans="1:59">
      <c r="A10" s="78" t="s">
        <v>399</v>
      </c>
      <c r="B10" s="79">
        <v>146.91718848912814</v>
      </c>
      <c r="C10" s="79">
        <v>147.39537731245835</v>
      </c>
      <c r="D10" s="79">
        <v>148.07955371755185</v>
      </c>
      <c r="E10" s="80">
        <v>165.3344933820288</v>
      </c>
      <c r="F10" s="80">
        <v>356.31726110154631</v>
      </c>
      <c r="G10" s="80">
        <v>821.19665725591221</v>
      </c>
      <c r="H10" s="80">
        <v>1564.1795717505649</v>
      </c>
      <c r="I10" s="80">
        <v>2053.69186611241</v>
      </c>
      <c r="J10" s="80">
        <v>2287.789976083433</v>
      </c>
      <c r="K10" s="80">
        <v>2676.9457349784411</v>
      </c>
      <c r="L10" s="80">
        <v>3381.3557064827546</v>
      </c>
      <c r="M10" s="80">
        <v>3941.8692567208618</v>
      </c>
      <c r="N10" s="80">
        <v>4572.1192388049221</v>
      </c>
      <c r="O10" s="80">
        <v>5361.727328606532</v>
      </c>
      <c r="P10" s="80">
        <v>6126.7766291354228</v>
      </c>
      <c r="Q10" s="80">
        <v>6828.1372260816406</v>
      </c>
      <c r="R10" s="80">
        <v>7650.2601996090916</v>
      </c>
      <c r="S10" s="80">
        <v>8323.3578973279073</v>
      </c>
      <c r="T10" s="80">
        <v>8940.6942234304461</v>
      </c>
      <c r="U10" s="80">
        <v>9053.4371164290933</v>
      </c>
      <c r="V10" s="80">
        <v>9538.2406397330778</v>
      </c>
      <c r="W10" s="80">
        <v>9905.0751833825288</v>
      </c>
      <c r="X10" s="80">
        <v>9950.4779575906832</v>
      </c>
      <c r="Y10" s="80">
        <v>9909.4303782967036</v>
      </c>
      <c r="Z10" s="80">
        <v>9899.7929398819215</v>
      </c>
      <c r="AA10" s="80">
        <v>9784.726227647523</v>
      </c>
      <c r="AB10" s="80">
        <v>9599.7569527620653</v>
      </c>
      <c r="AC10" s="80">
        <v>9242.9478346056094</v>
      </c>
      <c r="AD10" s="80">
        <v>8365.8614878703484</v>
      </c>
      <c r="AE10" s="80">
        <v>7076.0889100171498</v>
      </c>
      <c r="AF10" s="80">
        <v>6221.3367167601509</v>
      </c>
      <c r="AG10" s="80">
        <v>5520.5622572432894</v>
      </c>
      <c r="AH10" s="80">
        <v>4606.5711930723928</v>
      </c>
      <c r="AI10" s="143">
        <v>4351.2743670253831</v>
      </c>
      <c r="AJ10" s="143">
        <f t="shared" si="0"/>
        <v>4045.6637344040541</v>
      </c>
      <c r="AK10" s="143">
        <v>3740.0531017827252</v>
      </c>
      <c r="AL10" s="143">
        <f t="shared" si="1"/>
        <v>3514.8905814774116</v>
      </c>
      <c r="AM10" s="143">
        <f t="shared" si="2"/>
        <v>3289.7280611720985</v>
      </c>
      <c r="AN10" s="143">
        <v>3064.5655408667849</v>
      </c>
      <c r="AO10" s="143">
        <f t="shared" si="3"/>
        <v>2920.4862556151875</v>
      </c>
      <c r="AP10" s="143">
        <v>2776.4069703635901</v>
      </c>
    </row>
    <row r="11" spans="1:59">
      <c r="A11" s="78" t="s">
        <v>400</v>
      </c>
      <c r="B11" s="79">
        <v>0</v>
      </c>
      <c r="C11" s="79">
        <v>0</v>
      </c>
      <c r="D11" s="79">
        <v>0</v>
      </c>
      <c r="E11" s="79">
        <v>0</v>
      </c>
      <c r="F11" s="79">
        <v>0</v>
      </c>
      <c r="G11" s="79">
        <v>0</v>
      </c>
      <c r="H11" s="79">
        <v>0</v>
      </c>
      <c r="I11" s="79">
        <v>0</v>
      </c>
      <c r="J11" s="79">
        <v>0</v>
      </c>
      <c r="K11" s="79">
        <v>9.6517719565068845</v>
      </c>
      <c r="L11" s="79">
        <v>21.535865406489474</v>
      </c>
      <c r="M11" s="79">
        <v>41.728773721239889</v>
      </c>
      <c r="N11" s="79">
        <v>54.538452828469808</v>
      </c>
      <c r="O11" s="79">
        <v>45.766735254108816</v>
      </c>
      <c r="P11" s="79">
        <v>43.98768897036674</v>
      </c>
      <c r="Q11" s="79">
        <v>60.206825541104088</v>
      </c>
      <c r="R11" s="79">
        <v>67.305330212252827</v>
      </c>
      <c r="S11" s="79">
        <v>59.141583942573945</v>
      </c>
      <c r="T11" s="79">
        <v>63.258398384722689</v>
      </c>
      <c r="U11" s="79">
        <v>82.198595250447681</v>
      </c>
      <c r="V11" s="79">
        <v>96.635468801445981</v>
      </c>
      <c r="W11" s="79">
        <v>92.86029325876676</v>
      </c>
      <c r="X11" s="79">
        <v>89.01940919770297</v>
      </c>
      <c r="Y11" s="79">
        <v>90.560968661224237</v>
      </c>
      <c r="Z11" s="79">
        <v>90.484467734181052</v>
      </c>
      <c r="AA11" s="79">
        <v>78.884436656535073</v>
      </c>
      <c r="AB11" s="79">
        <v>76.576428708498653</v>
      </c>
      <c r="AC11" s="79">
        <v>78.527059581514607</v>
      </c>
      <c r="AD11" s="79">
        <v>70.31931046648296</v>
      </c>
      <c r="AE11" s="79">
        <v>81.637419671209912</v>
      </c>
      <c r="AF11" s="79">
        <v>73.958378110233355</v>
      </c>
      <c r="AG11" s="79">
        <v>52.96150826516098</v>
      </c>
      <c r="AH11" s="79">
        <v>62.360101649714288</v>
      </c>
      <c r="AI11" s="143">
        <v>33.772392225254322</v>
      </c>
      <c r="AJ11" s="143">
        <f t="shared" si="0"/>
        <v>28.235386278371173</v>
      </c>
      <c r="AK11" s="143">
        <v>22.698380331488025</v>
      </c>
      <c r="AL11" s="143">
        <f t="shared" si="1"/>
        <v>20.482939720550721</v>
      </c>
      <c r="AM11" s="143">
        <f t="shared" si="2"/>
        <v>18.267499109613414</v>
      </c>
      <c r="AN11" s="143">
        <v>16.052058498676111</v>
      </c>
      <c r="AO11" s="143">
        <f t="shared" si="3"/>
        <v>14.922375287841971</v>
      </c>
      <c r="AP11" s="143">
        <v>13.792692077007832</v>
      </c>
    </row>
    <row r="12" spans="1:59">
      <c r="A12" s="78" t="s">
        <v>387</v>
      </c>
      <c r="B12" s="79">
        <v>0</v>
      </c>
      <c r="C12" s="79">
        <v>0</v>
      </c>
      <c r="D12" s="79">
        <v>0</v>
      </c>
      <c r="E12" s="79">
        <v>0.29337282612128684</v>
      </c>
      <c r="F12" s="79">
        <v>32.506453085492375</v>
      </c>
      <c r="G12" s="79">
        <v>115.96717485936696</v>
      </c>
      <c r="H12" s="79">
        <v>226.97939161978783</v>
      </c>
      <c r="I12" s="79">
        <v>352.49733235333963</v>
      </c>
      <c r="J12" s="79">
        <v>516.57724770315167</v>
      </c>
      <c r="K12" s="79">
        <v>771.3366082390213</v>
      </c>
      <c r="L12" s="79">
        <v>1052.447197943166</v>
      </c>
      <c r="M12" s="79">
        <v>1308.6301389151213</v>
      </c>
      <c r="N12" s="79">
        <v>1567.4894555062779</v>
      </c>
      <c r="O12" s="79">
        <v>1860.0955823673839</v>
      </c>
      <c r="P12" s="79">
        <v>2147.5421572494588</v>
      </c>
      <c r="Q12" s="79">
        <v>2193.83256532009</v>
      </c>
      <c r="R12" s="79">
        <v>2591.9412560366873</v>
      </c>
      <c r="S12" s="79">
        <v>2839.2904575960692</v>
      </c>
      <c r="T12" s="79">
        <v>3071.2037795535971</v>
      </c>
      <c r="U12" s="79">
        <v>3073.8089806839607</v>
      </c>
      <c r="V12" s="79">
        <v>3286.367762102801</v>
      </c>
      <c r="W12" s="79">
        <v>3357.2319372467109</v>
      </c>
      <c r="X12" s="79">
        <v>3441.1372534200805</v>
      </c>
      <c r="Y12" s="79">
        <v>3489.6537185198836</v>
      </c>
      <c r="Z12" s="79">
        <v>3487.0549921901984</v>
      </c>
      <c r="AA12" s="79">
        <v>3365.9377375804911</v>
      </c>
      <c r="AB12" s="79">
        <v>3327.1107126278184</v>
      </c>
      <c r="AC12" s="79">
        <v>3152.5899811905438</v>
      </c>
      <c r="AD12" s="79">
        <v>2890.5894630563448</v>
      </c>
      <c r="AE12" s="79">
        <v>2628.8674834442022</v>
      </c>
      <c r="AF12" s="79">
        <v>2377.7018335617263</v>
      </c>
      <c r="AG12" s="79">
        <v>2192.8361920232546</v>
      </c>
      <c r="AH12" s="79">
        <v>1942.0069721275759</v>
      </c>
      <c r="AI12" s="143">
        <v>1743.862769929814</v>
      </c>
      <c r="AJ12" s="143">
        <f t="shared" si="0"/>
        <v>1514.2610285592664</v>
      </c>
      <c r="AK12" s="143">
        <v>1284.6592871887187</v>
      </c>
      <c r="AL12" s="143">
        <f t="shared" si="1"/>
        <v>1118.2372839534164</v>
      </c>
      <c r="AM12" s="143">
        <f t="shared" si="2"/>
        <v>951.81528071811408</v>
      </c>
      <c r="AN12" s="143">
        <v>785.39327748281175</v>
      </c>
      <c r="AO12" s="143">
        <f t="shared" si="3"/>
        <v>662.83838168608042</v>
      </c>
      <c r="AP12" s="143">
        <v>540.28348588934909</v>
      </c>
    </row>
    <row r="13" spans="1:59">
      <c r="A13" s="81" t="s">
        <v>401</v>
      </c>
      <c r="B13" s="82">
        <v>0</v>
      </c>
      <c r="C13" s="82">
        <v>0</v>
      </c>
      <c r="D13" s="82">
        <v>0</v>
      </c>
      <c r="E13" s="82">
        <v>0</v>
      </c>
      <c r="F13" s="82">
        <v>5.0183898499784796</v>
      </c>
      <c r="G13" s="82">
        <v>37.392693354130749</v>
      </c>
      <c r="H13" s="82">
        <v>91.175529371462915</v>
      </c>
      <c r="I13" s="82">
        <v>117.33589730033827</v>
      </c>
      <c r="J13" s="82">
        <v>117.38466347017571</v>
      </c>
      <c r="K13" s="82">
        <v>117.42922775834766</v>
      </c>
      <c r="L13" s="82">
        <v>112.42408255404999</v>
      </c>
      <c r="M13" s="82">
        <v>107.70997314789784</v>
      </c>
      <c r="N13" s="82">
        <v>105.21805849695212</v>
      </c>
      <c r="O13" s="82">
        <v>110.47130225826318</v>
      </c>
      <c r="P13" s="82">
        <v>116.97031423577944</v>
      </c>
      <c r="Q13" s="82">
        <v>115.66192264040676</v>
      </c>
      <c r="R13" s="82">
        <v>114.21794755223993</v>
      </c>
      <c r="S13" s="82">
        <v>112.67469797402397</v>
      </c>
      <c r="T13" s="82">
        <v>111.22064610532304</v>
      </c>
      <c r="U13" s="82">
        <v>105.32481599555199</v>
      </c>
      <c r="V13" s="82">
        <v>108.41575121340989</v>
      </c>
      <c r="W13" s="82">
        <v>111.94750122576527</v>
      </c>
      <c r="X13" s="82">
        <v>99.515849902432223</v>
      </c>
      <c r="Y13" s="82">
        <v>91.315600305862574</v>
      </c>
      <c r="Z13" s="82">
        <v>91.585916653760108</v>
      </c>
      <c r="AA13" s="82">
        <v>91.062618394912178</v>
      </c>
      <c r="AB13" s="82">
        <v>89.725136854832684</v>
      </c>
      <c r="AC13" s="82">
        <v>89.235177831234566</v>
      </c>
      <c r="AD13" s="82">
        <v>48.683988056012439</v>
      </c>
      <c r="AE13" s="82">
        <v>5.4788575300391553</v>
      </c>
      <c r="AF13" s="82">
        <v>0.27615620231457494</v>
      </c>
      <c r="AG13" s="82">
        <v>0.61445448578024153</v>
      </c>
      <c r="AH13" s="82">
        <v>0.61445448578024153</v>
      </c>
      <c r="AI13" s="143">
        <v>0.32520471055178118</v>
      </c>
      <c r="AJ13" s="143">
        <f t="shared" si="0"/>
        <v>0.32522237466204756</v>
      </c>
      <c r="AK13" s="143">
        <v>0.32524003877231394</v>
      </c>
      <c r="AL13" s="143">
        <f t="shared" si="1"/>
        <v>0.32525806697063525</v>
      </c>
      <c r="AM13" s="143">
        <f t="shared" si="2"/>
        <v>0.32527609516895661</v>
      </c>
      <c r="AN13" s="143">
        <v>0.32529412336727792</v>
      </c>
      <c r="AO13" s="143">
        <f t="shared" si="3"/>
        <v>0.32531345801141465</v>
      </c>
      <c r="AP13" s="143">
        <v>0.32533279265555132</v>
      </c>
    </row>
    <row r="14" spans="1:59">
      <c r="A14" s="83" t="s">
        <v>402</v>
      </c>
      <c r="B14" s="85">
        <v>11147.087365382027</v>
      </c>
      <c r="C14" s="85">
        <v>11497.475734602844</v>
      </c>
      <c r="D14" s="85">
        <v>10904.244735152459</v>
      </c>
      <c r="E14" s="85">
        <v>9189.2315988259779</v>
      </c>
      <c r="F14" s="85">
        <v>7985.5496011784453</v>
      </c>
      <c r="G14" s="85">
        <v>6899.5654368148607</v>
      </c>
      <c r="H14" s="85">
        <v>7940.979821531887</v>
      </c>
      <c r="I14" s="85">
        <v>8803.7983762943168</v>
      </c>
      <c r="J14" s="85">
        <v>9739.4690530611279</v>
      </c>
      <c r="K14" s="85">
        <v>11307.448117239437</v>
      </c>
      <c r="L14" s="85">
        <v>11277.44738803602</v>
      </c>
      <c r="M14" s="85">
        <v>11819.151506454093</v>
      </c>
      <c r="N14" s="85">
        <v>14077.800782547343</v>
      </c>
      <c r="O14" s="85">
        <v>14980.002291033445</v>
      </c>
      <c r="P14" s="85">
        <v>15325.878738631098</v>
      </c>
      <c r="Q14" s="85">
        <v>15269.053932578137</v>
      </c>
      <c r="R14" s="85">
        <v>16342.835934671686</v>
      </c>
      <c r="S14" s="85">
        <v>16761.320545346403</v>
      </c>
      <c r="T14" s="85">
        <v>17532.064408264927</v>
      </c>
      <c r="U14" s="85">
        <v>17201.362199552575</v>
      </c>
      <c r="V14" s="85">
        <v>17902.880520852701</v>
      </c>
      <c r="W14" s="85">
        <v>18511.889002150619</v>
      </c>
      <c r="X14" s="85">
        <v>18725.4927441947</v>
      </c>
      <c r="Y14" s="85">
        <v>18481.221148866647</v>
      </c>
      <c r="Z14" s="85">
        <v>18223.997356363674</v>
      </c>
      <c r="AA14" s="85">
        <v>18009.199586671646</v>
      </c>
      <c r="AB14" s="85">
        <v>17828.71795820113</v>
      </c>
      <c r="AC14" s="85">
        <v>17199.956807834966</v>
      </c>
      <c r="AD14" s="85">
        <v>15632.867363471243</v>
      </c>
      <c r="AE14" s="85">
        <v>13655.722425635884</v>
      </c>
      <c r="AF14" s="85">
        <v>12196.897937525831</v>
      </c>
      <c r="AG14" s="85">
        <v>10839.71167466873</v>
      </c>
      <c r="AH14" s="84">
        <v>9460.2671486392337</v>
      </c>
      <c r="AI14" s="85">
        <v>7839.6051233861117</v>
      </c>
      <c r="AJ14" s="85">
        <f t="shared" si="0"/>
        <v>7155.7746002481454</v>
      </c>
      <c r="AK14" s="85">
        <v>6471.944077110179</v>
      </c>
      <c r="AL14" s="85">
        <f t="shared" si="1"/>
        <v>6004.8855200839544</v>
      </c>
      <c r="AM14" s="85">
        <f t="shared" si="2"/>
        <v>5537.8269630577288</v>
      </c>
      <c r="AN14" s="85">
        <v>5070.7684060315041</v>
      </c>
      <c r="AO14" s="85">
        <f t="shared" si="3"/>
        <v>4775.6494391259548</v>
      </c>
      <c r="AP14" s="85">
        <v>4480.5304722204064</v>
      </c>
    </row>
    <row r="15" spans="1:59">
      <c r="A15" s="78" t="s">
        <v>403</v>
      </c>
      <c r="B15" s="79">
        <v>0</v>
      </c>
      <c r="C15" s="79">
        <v>0</v>
      </c>
      <c r="D15" s="79">
        <v>0</v>
      </c>
      <c r="E15" s="79">
        <v>0</v>
      </c>
      <c r="F15" s="79">
        <v>0</v>
      </c>
      <c r="G15" s="79">
        <v>0</v>
      </c>
      <c r="H15" s="79">
        <v>0</v>
      </c>
      <c r="I15" s="79">
        <v>0</v>
      </c>
      <c r="J15" s="79">
        <v>0</v>
      </c>
      <c r="K15" s="79">
        <v>0</v>
      </c>
      <c r="L15" s="79">
        <v>0</v>
      </c>
      <c r="M15" s="79">
        <v>0</v>
      </c>
      <c r="N15" s="79">
        <v>0</v>
      </c>
      <c r="O15" s="79">
        <v>0</v>
      </c>
      <c r="P15" s="79">
        <v>0</v>
      </c>
      <c r="Q15" s="79">
        <v>0</v>
      </c>
      <c r="R15" s="79">
        <v>0</v>
      </c>
      <c r="S15" s="79">
        <v>0</v>
      </c>
      <c r="T15" s="79">
        <v>0</v>
      </c>
      <c r="U15" s="79">
        <v>0</v>
      </c>
      <c r="V15" s="79">
        <v>0</v>
      </c>
      <c r="W15" s="79">
        <v>0</v>
      </c>
      <c r="X15" s="79">
        <v>0</v>
      </c>
      <c r="Y15" s="79">
        <v>0</v>
      </c>
      <c r="Z15" s="79">
        <v>0</v>
      </c>
      <c r="AA15" s="79">
        <v>0</v>
      </c>
      <c r="AB15" s="79">
        <v>0</v>
      </c>
      <c r="AC15" s="79">
        <v>0</v>
      </c>
      <c r="AD15" s="79">
        <v>0</v>
      </c>
      <c r="AE15" s="79">
        <v>0</v>
      </c>
      <c r="AF15" s="79">
        <v>0</v>
      </c>
      <c r="AG15" s="79">
        <v>0</v>
      </c>
      <c r="AH15" s="79">
        <v>0</v>
      </c>
      <c r="AI15" s="144">
        <v>0</v>
      </c>
      <c r="AJ15" s="143">
        <f t="shared" si="0"/>
        <v>0</v>
      </c>
      <c r="AK15" s="144">
        <v>0</v>
      </c>
      <c r="AL15" s="143">
        <f t="shared" si="1"/>
        <v>0</v>
      </c>
      <c r="AM15" s="143">
        <f t="shared" si="2"/>
        <v>0</v>
      </c>
      <c r="AN15" s="144">
        <v>0</v>
      </c>
      <c r="AO15" s="143">
        <f t="shared" si="3"/>
        <v>0</v>
      </c>
      <c r="AP15" s="144">
        <v>0</v>
      </c>
    </row>
    <row r="16" spans="1:59">
      <c r="A16" s="81" t="s">
        <v>404</v>
      </c>
      <c r="B16" s="82">
        <v>0</v>
      </c>
      <c r="C16" s="82">
        <v>0</v>
      </c>
      <c r="D16" s="82">
        <v>0</v>
      </c>
      <c r="E16" s="82">
        <v>0</v>
      </c>
      <c r="F16" s="82">
        <v>0</v>
      </c>
      <c r="G16" s="82">
        <v>0</v>
      </c>
      <c r="H16" s="82">
        <v>0</v>
      </c>
      <c r="I16" s="82">
        <v>0</v>
      </c>
      <c r="J16" s="82">
        <v>0</v>
      </c>
      <c r="K16" s="82">
        <v>0</v>
      </c>
      <c r="L16" s="82">
        <v>0</v>
      </c>
      <c r="M16" s="82">
        <v>0</v>
      </c>
      <c r="N16" s="82">
        <v>0</v>
      </c>
      <c r="O16" s="82">
        <v>0</v>
      </c>
      <c r="P16" s="82">
        <v>0</v>
      </c>
      <c r="Q16" s="82">
        <v>0</v>
      </c>
      <c r="R16" s="82">
        <v>0</v>
      </c>
      <c r="S16" s="82">
        <v>0</v>
      </c>
      <c r="T16" s="82">
        <v>0</v>
      </c>
      <c r="U16" s="82">
        <v>0</v>
      </c>
      <c r="V16" s="82">
        <v>0</v>
      </c>
      <c r="W16" s="82">
        <v>0</v>
      </c>
      <c r="X16" s="82">
        <v>0</v>
      </c>
      <c r="Y16" s="82">
        <v>0</v>
      </c>
      <c r="Z16" s="82">
        <v>0</v>
      </c>
      <c r="AA16" s="82">
        <v>0</v>
      </c>
      <c r="AB16" s="82">
        <v>0</v>
      </c>
      <c r="AC16" s="82">
        <v>0</v>
      </c>
      <c r="AD16" s="82">
        <v>0</v>
      </c>
      <c r="AE16" s="82">
        <v>0</v>
      </c>
      <c r="AF16" s="82">
        <v>0</v>
      </c>
      <c r="AG16" s="82">
        <v>0</v>
      </c>
      <c r="AH16" s="82">
        <v>0</v>
      </c>
      <c r="AI16" s="326"/>
      <c r="AJ16" s="327"/>
      <c r="AK16" s="327"/>
      <c r="AL16" s="327"/>
      <c r="AM16" s="327"/>
      <c r="AN16" s="327"/>
      <c r="AO16" s="327"/>
      <c r="AP16" s="327"/>
    </row>
    <row r="17" spans="1:42">
      <c r="A17" s="83" t="s">
        <v>406</v>
      </c>
      <c r="B17" s="85">
        <v>11147.087365382027</v>
      </c>
      <c r="C17" s="85">
        <v>11497.475734602844</v>
      </c>
      <c r="D17" s="85">
        <v>10904.244735152459</v>
      </c>
      <c r="E17" s="85">
        <v>9189.2315988259779</v>
      </c>
      <c r="F17" s="85">
        <v>7985.5496011784453</v>
      </c>
      <c r="G17" s="85">
        <v>6899.5654368148607</v>
      </c>
      <c r="H17" s="85">
        <v>7940.979821531887</v>
      </c>
      <c r="I17" s="85">
        <v>8803.7983762943168</v>
      </c>
      <c r="J17" s="85">
        <v>9739.4690530611279</v>
      </c>
      <c r="K17" s="85">
        <v>11307.448117239437</v>
      </c>
      <c r="L17" s="85">
        <v>11277.44738803602</v>
      </c>
      <c r="M17" s="85">
        <v>11819.151506454093</v>
      </c>
      <c r="N17" s="85">
        <v>14077.800782547343</v>
      </c>
      <c r="O17" s="85">
        <v>14980.002291033445</v>
      </c>
      <c r="P17" s="85">
        <v>15325.878738631098</v>
      </c>
      <c r="Q17" s="85">
        <v>15269.053932578137</v>
      </c>
      <c r="R17" s="85">
        <v>16342.835934671686</v>
      </c>
      <c r="S17" s="85">
        <v>16761.320545346403</v>
      </c>
      <c r="T17" s="85">
        <v>17532.064408264927</v>
      </c>
      <c r="U17" s="85">
        <v>17201.362199552575</v>
      </c>
      <c r="V17" s="85">
        <v>17902.880520852701</v>
      </c>
      <c r="W17" s="85">
        <v>18511.889002150619</v>
      </c>
      <c r="X17" s="85">
        <v>18725.4927441947</v>
      </c>
      <c r="Y17" s="85">
        <v>18481.221148866647</v>
      </c>
      <c r="Z17" s="85">
        <v>18223.997356363674</v>
      </c>
      <c r="AA17" s="85">
        <v>18009.199586671646</v>
      </c>
      <c r="AB17" s="85">
        <v>17828.71795820113</v>
      </c>
      <c r="AC17" s="85">
        <v>17199.956807834966</v>
      </c>
      <c r="AD17" s="85">
        <v>15632.867363471243</v>
      </c>
      <c r="AE17" s="85">
        <v>13655.722425635884</v>
      </c>
      <c r="AF17" s="85">
        <v>12196.897937525831</v>
      </c>
      <c r="AG17" s="85">
        <v>10839.71167466873</v>
      </c>
      <c r="AH17" s="85">
        <v>9460.2671486392337</v>
      </c>
      <c r="AI17" s="85">
        <f>AI14+AI15</f>
        <v>7839.6051233861117</v>
      </c>
      <c r="AJ17" s="85">
        <f t="shared" ref="AJ17:AP17" si="4">AJ14+AJ15</f>
        <v>7155.7746002481454</v>
      </c>
      <c r="AK17" s="85">
        <f t="shared" si="4"/>
        <v>6471.944077110179</v>
      </c>
      <c r="AL17" s="85">
        <f t="shared" si="4"/>
        <v>6004.8855200839544</v>
      </c>
      <c r="AM17" s="85">
        <f t="shared" si="4"/>
        <v>5537.8269630577288</v>
      </c>
      <c r="AN17" s="85">
        <f t="shared" si="4"/>
        <v>5070.7684060315041</v>
      </c>
      <c r="AO17" s="85">
        <f t="shared" si="4"/>
        <v>4775.6494391259548</v>
      </c>
      <c r="AP17" s="85">
        <f t="shared" si="4"/>
        <v>4480.5304722204064</v>
      </c>
    </row>
    <row r="18" spans="1:42">
      <c r="A18" s="81" t="s">
        <v>407</v>
      </c>
      <c r="B18" s="82">
        <v>0</v>
      </c>
      <c r="C18" s="82">
        <v>0</v>
      </c>
      <c r="D18" s="82">
        <v>0</v>
      </c>
      <c r="E18" s="82">
        <v>0</v>
      </c>
      <c r="F18" s="82">
        <v>5.0183898499784796</v>
      </c>
      <c r="G18" s="82">
        <v>37.392693354130749</v>
      </c>
      <c r="H18" s="82">
        <v>91.175529371462915</v>
      </c>
      <c r="I18" s="82">
        <v>117.33589730033827</v>
      </c>
      <c r="J18" s="82">
        <v>117.38466347017571</v>
      </c>
      <c r="K18" s="82">
        <v>117.42922775834766</v>
      </c>
      <c r="L18" s="82">
        <v>112.42408255404999</v>
      </c>
      <c r="M18" s="82">
        <v>107.70997314789784</v>
      </c>
      <c r="N18" s="82">
        <v>105.21805849695212</v>
      </c>
      <c r="O18" s="82">
        <v>110.47130225826318</v>
      </c>
      <c r="P18" s="82">
        <v>116.97031423577944</v>
      </c>
      <c r="Q18" s="82">
        <v>115.66192264040676</v>
      </c>
      <c r="R18" s="82">
        <v>114.21794755223993</v>
      </c>
      <c r="S18" s="82">
        <v>112.67469797402397</v>
      </c>
      <c r="T18" s="82">
        <v>111.22064610532304</v>
      </c>
      <c r="U18" s="82">
        <v>105.32481599555199</v>
      </c>
      <c r="V18" s="82">
        <v>108.41575121340989</v>
      </c>
      <c r="W18" s="82">
        <v>111.94750122576527</v>
      </c>
      <c r="X18" s="82">
        <v>99.515849902432223</v>
      </c>
      <c r="Y18" s="82">
        <v>91.315600305862574</v>
      </c>
      <c r="Z18" s="82">
        <v>91.585916653760108</v>
      </c>
      <c r="AA18" s="82">
        <v>91.062618394912178</v>
      </c>
      <c r="AB18" s="82">
        <v>89.725136854832684</v>
      </c>
      <c r="AC18" s="82">
        <v>89.235177831234566</v>
      </c>
      <c r="AD18" s="82">
        <v>48.683988056012439</v>
      </c>
      <c r="AE18" s="82">
        <v>5.4788575300391553</v>
      </c>
      <c r="AF18" s="82">
        <v>0.27615620231457494</v>
      </c>
      <c r="AG18" s="82">
        <v>0.61445448578024153</v>
      </c>
      <c r="AH18" s="82">
        <v>0.61445448578024153</v>
      </c>
      <c r="AI18" s="326"/>
      <c r="AJ18" s="327"/>
      <c r="AK18" s="327"/>
      <c r="AL18" s="327"/>
      <c r="AM18" s="327"/>
      <c r="AN18" s="327"/>
      <c r="AO18" s="327"/>
      <c r="AP18" s="327"/>
    </row>
    <row r="19" spans="1:42">
      <c r="A19" s="86"/>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6"/>
      <c r="AI19" s="328"/>
      <c r="AJ19" s="328"/>
      <c r="AK19" s="328"/>
      <c r="AL19" s="328"/>
      <c r="AM19" s="328"/>
      <c r="AN19" s="328"/>
      <c r="AO19" s="328"/>
      <c r="AP19" s="328"/>
    </row>
    <row r="20" spans="1:42">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8"/>
      <c r="AE20" s="86"/>
      <c r="AF20" s="86"/>
      <c r="AG20" s="86"/>
      <c r="AH20" s="86"/>
    </row>
    <row r="21" spans="1:42" ht="18">
      <c r="A21" s="73" t="s">
        <v>408</v>
      </c>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426" t="s">
        <v>393</v>
      </c>
      <c r="AJ21" s="426"/>
      <c r="AK21" s="426"/>
      <c r="AL21" s="426"/>
      <c r="AM21" s="426"/>
      <c r="AN21" s="426"/>
      <c r="AO21" s="426"/>
      <c r="AP21" s="426"/>
    </row>
    <row r="22" spans="1:42">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row>
    <row r="23" spans="1:42">
      <c r="A23" s="89" t="s">
        <v>396</v>
      </c>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427" t="s">
        <v>393</v>
      </c>
      <c r="AJ23" s="427"/>
      <c r="AK23" s="427"/>
      <c r="AL23" s="427"/>
      <c r="AM23" s="427"/>
      <c r="AN23" s="427"/>
      <c r="AO23" s="427"/>
      <c r="AP23" s="427"/>
    </row>
    <row r="24" spans="1:42" ht="105.6">
      <c r="A24" s="75" t="s">
        <v>481</v>
      </c>
      <c r="B24" s="76">
        <v>1990</v>
      </c>
      <c r="C24" s="76">
        <v>1991</v>
      </c>
      <c r="D24" s="76">
        <v>1992</v>
      </c>
      <c r="E24" s="76">
        <v>1993</v>
      </c>
      <c r="F24" s="76">
        <v>1994</v>
      </c>
      <c r="G24" s="76">
        <v>1995</v>
      </c>
      <c r="H24" s="76">
        <v>1996</v>
      </c>
      <c r="I24" s="76">
        <v>1997</v>
      </c>
      <c r="J24" s="76">
        <v>1998</v>
      </c>
      <c r="K24" s="76">
        <v>1999</v>
      </c>
      <c r="L24" s="76">
        <v>2000</v>
      </c>
      <c r="M24" s="76">
        <v>2001</v>
      </c>
      <c r="N24" s="76">
        <v>2002</v>
      </c>
      <c r="O24" s="76">
        <v>2003</v>
      </c>
      <c r="P24" s="76">
        <v>2004</v>
      </c>
      <c r="Q24" s="76">
        <v>2005</v>
      </c>
      <c r="R24" s="76">
        <v>2006</v>
      </c>
      <c r="S24" s="76">
        <v>2007</v>
      </c>
      <c r="T24" s="76">
        <v>2008</v>
      </c>
      <c r="U24" s="76">
        <v>2009</v>
      </c>
      <c r="V24" s="76">
        <v>2010</v>
      </c>
      <c r="W24" s="76">
        <v>2011</v>
      </c>
      <c r="X24" s="76">
        <v>2012</v>
      </c>
      <c r="Y24" s="76">
        <v>2013</v>
      </c>
      <c r="Z24" s="76">
        <v>2014</v>
      </c>
      <c r="AA24" s="76">
        <v>2015</v>
      </c>
      <c r="AB24" s="76">
        <v>2016</v>
      </c>
      <c r="AC24" s="76">
        <v>2017</v>
      </c>
      <c r="AD24" s="76">
        <v>2018</v>
      </c>
      <c r="AE24" s="76">
        <v>2019</v>
      </c>
      <c r="AF24" s="76">
        <v>2020</v>
      </c>
      <c r="AG24" s="77">
        <v>2021</v>
      </c>
      <c r="AH24" s="77" t="s">
        <v>395</v>
      </c>
      <c r="AI24" s="76">
        <v>2023</v>
      </c>
      <c r="AJ24" s="152">
        <v>2024</v>
      </c>
      <c r="AK24" s="76">
        <v>2025</v>
      </c>
      <c r="AL24" s="152">
        <v>2026</v>
      </c>
      <c r="AM24" s="152">
        <v>2027</v>
      </c>
      <c r="AN24" s="76">
        <v>2028</v>
      </c>
      <c r="AO24" s="152">
        <v>2029</v>
      </c>
      <c r="AP24" s="76">
        <v>2030</v>
      </c>
    </row>
    <row r="25" spans="1:42" ht="24">
      <c r="A25" s="91" t="s">
        <v>90</v>
      </c>
      <c r="B25" s="92">
        <v>521.41815115928091</v>
      </c>
      <c r="C25" s="92">
        <v>524.67701460402657</v>
      </c>
      <c r="D25" s="92">
        <v>527.935878048772</v>
      </c>
      <c r="E25" s="92">
        <v>531.19474149351743</v>
      </c>
      <c r="F25" s="92">
        <v>534.45360493826286</v>
      </c>
      <c r="G25" s="92">
        <v>537.94343674166328</v>
      </c>
      <c r="H25" s="92">
        <v>517.97081868622581</v>
      </c>
      <c r="I25" s="92">
        <v>497.70852388014418</v>
      </c>
      <c r="J25" s="92">
        <v>477.1565523234184</v>
      </c>
      <c r="K25" s="92">
        <v>464.89629827853582</v>
      </c>
      <c r="L25" s="92">
        <v>452.63604423365308</v>
      </c>
      <c r="M25" s="92">
        <v>440.78625395757967</v>
      </c>
      <c r="N25" s="92">
        <v>428.82031959258279</v>
      </c>
      <c r="O25" s="92">
        <v>416.73824113866237</v>
      </c>
      <c r="P25" s="92">
        <v>404.40797860454256</v>
      </c>
      <c r="Q25" s="92">
        <v>392.17782721977937</v>
      </c>
      <c r="R25" s="92">
        <v>386.23566960614266</v>
      </c>
      <c r="S25" s="92">
        <v>378.07033388467028</v>
      </c>
      <c r="T25" s="92">
        <v>369.09789870145215</v>
      </c>
      <c r="U25" s="92">
        <v>359.25553078475258</v>
      </c>
      <c r="V25" s="92">
        <v>306.65717290192254</v>
      </c>
      <c r="W25" s="92">
        <v>258.88105618779889</v>
      </c>
      <c r="X25" s="92">
        <v>254.15669630738341</v>
      </c>
      <c r="Y25" s="92">
        <v>235.16430457457028</v>
      </c>
      <c r="Z25" s="92">
        <v>201.59200316258546</v>
      </c>
      <c r="AA25" s="92">
        <v>217.04290255818734</v>
      </c>
      <c r="AB25" s="92">
        <v>218.69387656277252</v>
      </c>
      <c r="AC25" s="92">
        <v>189.56342647407521</v>
      </c>
      <c r="AD25" s="92">
        <v>200.39015924803272</v>
      </c>
      <c r="AE25" s="92">
        <v>185.27895696531542</v>
      </c>
      <c r="AF25" s="92">
        <v>186.3228652944272</v>
      </c>
      <c r="AG25" s="92">
        <v>174.2356944571342</v>
      </c>
      <c r="AH25" s="92">
        <v>174.2356944571342</v>
      </c>
      <c r="AI25" s="358">
        <v>185.05508334837745</v>
      </c>
      <c r="AJ25" s="342">
        <f>AI25+(AK25-AI25)/2</f>
        <v>184.77214733475813</v>
      </c>
      <c r="AK25" s="358">
        <v>184.48921132113884</v>
      </c>
      <c r="AL25" s="342">
        <f>AK25+(AN25-AK25)/3</f>
        <v>184.39735248031403</v>
      </c>
      <c r="AM25" s="342">
        <f>AK25+(AN25-AK25)*2/3</f>
        <v>184.30549363948921</v>
      </c>
      <c r="AN25" s="358">
        <v>184.2136347986644</v>
      </c>
      <c r="AO25" s="342">
        <f>AN25+(AP25-AN25)/2</f>
        <v>184.07942452865012</v>
      </c>
      <c r="AP25" s="358">
        <v>183.94521425863581</v>
      </c>
    </row>
    <row r="26" spans="1:42" ht="24">
      <c r="A26" s="91" t="s">
        <v>92</v>
      </c>
      <c r="B26" s="92">
        <v>0</v>
      </c>
      <c r="C26" s="92">
        <v>0</v>
      </c>
      <c r="D26" s="92">
        <v>0</v>
      </c>
      <c r="E26" s="92">
        <v>0</v>
      </c>
      <c r="F26" s="92">
        <v>0</v>
      </c>
      <c r="G26" s="92">
        <v>0</v>
      </c>
      <c r="H26" s="92">
        <v>0</v>
      </c>
      <c r="I26" s="92">
        <v>0</v>
      </c>
      <c r="J26" s="92">
        <v>0</v>
      </c>
      <c r="K26" s="92">
        <v>0</v>
      </c>
      <c r="L26" s="92">
        <v>0</v>
      </c>
      <c r="M26" s="92">
        <v>0</v>
      </c>
      <c r="N26" s="92">
        <v>0</v>
      </c>
      <c r="O26" s="92">
        <v>0</v>
      </c>
      <c r="P26" s="92">
        <v>0</v>
      </c>
      <c r="Q26" s="92">
        <v>0</v>
      </c>
      <c r="R26" s="92">
        <v>0</v>
      </c>
      <c r="S26" s="92">
        <v>0</v>
      </c>
      <c r="T26" s="92">
        <v>0</v>
      </c>
      <c r="U26" s="92">
        <v>0</v>
      </c>
      <c r="V26" s="92">
        <v>0</v>
      </c>
      <c r="W26" s="92">
        <v>0</v>
      </c>
      <c r="X26" s="92">
        <v>0</v>
      </c>
      <c r="Y26" s="92">
        <v>0</v>
      </c>
      <c r="Z26" s="92">
        <v>0</v>
      </c>
      <c r="AA26" s="92">
        <v>0</v>
      </c>
      <c r="AB26" s="92">
        <v>0</v>
      </c>
      <c r="AC26" s="92">
        <v>0</v>
      </c>
      <c r="AD26" s="92">
        <v>0</v>
      </c>
      <c r="AE26" s="92">
        <v>0</v>
      </c>
      <c r="AF26" s="92">
        <v>0</v>
      </c>
      <c r="AG26" s="92">
        <v>0</v>
      </c>
      <c r="AH26" s="92">
        <v>0</v>
      </c>
      <c r="AI26" s="358">
        <v>0</v>
      </c>
      <c r="AJ26" s="358">
        <v>0</v>
      </c>
      <c r="AK26" s="358">
        <v>0</v>
      </c>
      <c r="AL26" s="358">
        <v>0</v>
      </c>
      <c r="AM26" s="358">
        <v>0</v>
      </c>
      <c r="AN26" s="358">
        <v>0</v>
      </c>
      <c r="AO26" s="358">
        <v>0</v>
      </c>
      <c r="AP26" s="358">
        <v>0</v>
      </c>
    </row>
    <row r="27" spans="1:42" ht="24">
      <c r="A27" s="91" t="s">
        <v>94</v>
      </c>
      <c r="B27" s="92">
        <v>0</v>
      </c>
      <c r="C27" s="92">
        <v>0</v>
      </c>
      <c r="D27" s="92">
        <v>0</v>
      </c>
      <c r="E27" s="92">
        <v>0</v>
      </c>
      <c r="F27" s="92">
        <v>0</v>
      </c>
      <c r="G27" s="92">
        <v>0</v>
      </c>
      <c r="H27" s="92">
        <v>0</v>
      </c>
      <c r="I27" s="92">
        <v>0</v>
      </c>
      <c r="J27" s="92">
        <v>0</v>
      </c>
      <c r="K27" s="92">
        <v>0</v>
      </c>
      <c r="L27" s="92">
        <v>0</v>
      </c>
      <c r="M27" s="92">
        <v>0</v>
      </c>
      <c r="N27" s="92">
        <v>0</v>
      </c>
      <c r="O27" s="92">
        <v>0</v>
      </c>
      <c r="P27" s="92">
        <v>0</v>
      </c>
      <c r="Q27" s="92">
        <v>0</v>
      </c>
      <c r="R27" s="92">
        <v>0</v>
      </c>
      <c r="S27" s="92">
        <v>0</v>
      </c>
      <c r="T27" s="92">
        <v>0</v>
      </c>
      <c r="U27" s="92">
        <v>0</v>
      </c>
      <c r="V27" s="92">
        <v>0</v>
      </c>
      <c r="W27" s="92">
        <v>0</v>
      </c>
      <c r="X27" s="92">
        <v>0</v>
      </c>
      <c r="Y27" s="92">
        <v>0</v>
      </c>
      <c r="Z27" s="92">
        <v>0</v>
      </c>
      <c r="AA27" s="92">
        <v>0</v>
      </c>
      <c r="AB27" s="92">
        <v>0</v>
      </c>
      <c r="AC27" s="92">
        <v>0</v>
      </c>
      <c r="AD27" s="92">
        <v>0</v>
      </c>
      <c r="AE27" s="92">
        <v>0</v>
      </c>
      <c r="AF27" s="92">
        <v>0</v>
      </c>
      <c r="AG27" s="92">
        <v>0</v>
      </c>
      <c r="AH27" s="92">
        <v>0</v>
      </c>
      <c r="AI27" s="358">
        <v>0</v>
      </c>
      <c r="AJ27" s="358">
        <v>0</v>
      </c>
      <c r="AK27" s="358">
        <v>0</v>
      </c>
      <c r="AL27" s="358">
        <v>0</v>
      </c>
      <c r="AM27" s="358">
        <v>0</v>
      </c>
      <c r="AN27" s="358">
        <v>0</v>
      </c>
      <c r="AO27" s="358">
        <v>0</v>
      </c>
      <c r="AP27" s="358">
        <v>0</v>
      </c>
    </row>
    <row r="28" spans="1:42" ht="60">
      <c r="A28" s="91" t="s">
        <v>96</v>
      </c>
      <c r="B28" s="92">
        <v>0</v>
      </c>
      <c r="C28" s="92">
        <v>0</v>
      </c>
      <c r="D28" s="92">
        <v>0</v>
      </c>
      <c r="E28" s="92">
        <v>0</v>
      </c>
      <c r="F28" s="92">
        <v>0</v>
      </c>
      <c r="G28" s="92">
        <v>0</v>
      </c>
      <c r="H28" s="92">
        <v>0</v>
      </c>
      <c r="I28" s="92">
        <v>0</v>
      </c>
      <c r="J28" s="92">
        <v>0</v>
      </c>
      <c r="K28" s="92">
        <v>0</v>
      </c>
      <c r="L28" s="92">
        <v>0</v>
      </c>
      <c r="M28" s="92">
        <v>0</v>
      </c>
      <c r="N28" s="92">
        <v>0</v>
      </c>
      <c r="O28" s="92">
        <v>0</v>
      </c>
      <c r="P28" s="92">
        <v>0</v>
      </c>
      <c r="Q28" s="92">
        <v>0</v>
      </c>
      <c r="R28" s="92">
        <v>0</v>
      </c>
      <c r="S28" s="92">
        <v>0</v>
      </c>
      <c r="T28" s="92">
        <v>0</v>
      </c>
      <c r="U28" s="92">
        <v>0</v>
      </c>
      <c r="V28" s="92">
        <v>0</v>
      </c>
      <c r="W28" s="92">
        <v>0</v>
      </c>
      <c r="X28" s="92">
        <v>0</v>
      </c>
      <c r="Y28" s="92">
        <v>0</v>
      </c>
      <c r="Z28" s="92">
        <v>0</v>
      </c>
      <c r="AA28" s="92">
        <v>0</v>
      </c>
      <c r="AB28" s="92">
        <v>0</v>
      </c>
      <c r="AC28" s="92">
        <v>0</v>
      </c>
      <c r="AD28" s="92">
        <v>0</v>
      </c>
      <c r="AE28" s="92">
        <v>0</v>
      </c>
      <c r="AF28" s="92">
        <v>0</v>
      </c>
      <c r="AG28" s="92">
        <v>0</v>
      </c>
      <c r="AH28" s="92">
        <v>0</v>
      </c>
      <c r="AI28" s="358">
        <v>0</v>
      </c>
      <c r="AJ28" s="358">
        <v>0</v>
      </c>
      <c r="AK28" s="358">
        <v>0</v>
      </c>
      <c r="AL28" s="358">
        <v>0</v>
      </c>
      <c r="AM28" s="358">
        <v>0</v>
      </c>
      <c r="AN28" s="358">
        <v>0</v>
      </c>
      <c r="AO28" s="358">
        <v>0</v>
      </c>
      <c r="AP28" s="358">
        <v>0</v>
      </c>
    </row>
    <row r="29" spans="1:42" ht="48">
      <c r="A29" s="91" t="s">
        <v>357</v>
      </c>
      <c r="B29" s="92">
        <v>0</v>
      </c>
      <c r="C29" s="92">
        <v>0</v>
      </c>
      <c r="D29" s="92">
        <v>0</v>
      </c>
      <c r="E29" s="92">
        <v>0</v>
      </c>
      <c r="F29" s="92">
        <v>0</v>
      </c>
      <c r="G29" s="92">
        <v>0</v>
      </c>
      <c r="H29" s="92">
        <v>0</v>
      </c>
      <c r="I29" s="92">
        <v>0</v>
      </c>
      <c r="J29" s="92">
        <v>0</v>
      </c>
      <c r="K29" s="92">
        <v>0</v>
      </c>
      <c r="L29" s="92">
        <v>0</v>
      </c>
      <c r="M29" s="92">
        <v>0</v>
      </c>
      <c r="N29" s="92">
        <v>0</v>
      </c>
      <c r="O29" s="92">
        <v>0</v>
      </c>
      <c r="P29" s="92">
        <v>0</v>
      </c>
      <c r="Q29" s="92">
        <v>0</v>
      </c>
      <c r="R29" s="92">
        <v>0</v>
      </c>
      <c r="S29" s="92">
        <v>0</v>
      </c>
      <c r="T29" s="92">
        <v>0</v>
      </c>
      <c r="U29" s="92">
        <v>0</v>
      </c>
      <c r="V29" s="92">
        <v>0</v>
      </c>
      <c r="W29" s="92">
        <v>0</v>
      </c>
      <c r="X29" s="92">
        <v>0</v>
      </c>
      <c r="Y29" s="92">
        <v>0</v>
      </c>
      <c r="Z29" s="92">
        <v>0</v>
      </c>
      <c r="AA29" s="92">
        <v>0</v>
      </c>
      <c r="AB29" s="92">
        <v>0</v>
      </c>
      <c r="AC29" s="92">
        <v>0</v>
      </c>
      <c r="AD29" s="92">
        <v>0</v>
      </c>
      <c r="AE29" s="92">
        <v>0</v>
      </c>
      <c r="AF29" s="92">
        <v>0</v>
      </c>
      <c r="AG29" s="92">
        <v>0</v>
      </c>
      <c r="AH29" s="92">
        <v>0</v>
      </c>
      <c r="AI29" s="358">
        <v>0</v>
      </c>
      <c r="AJ29" s="358">
        <v>0</v>
      </c>
      <c r="AK29" s="358">
        <v>0</v>
      </c>
      <c r="AL29" s="358">
        <v>0</v>
      </c>
      <c r="AM29" s="358">
        <v>0</v>
      </c>
      <c r="AN29" s="358">
        <v>0</v>
      </c>
      <c r="AO29" s="358">
        <v>0</v>
      </c>
      <c r="AP29" s="358">
        <v>0</v>
      </c>
    </row>
    <row r="30" spans="1:42" ht="48">
      <c r="A30" s="91" t="s">
        <v>358</v>
      </c>
      <c r="B30" s="92">
        <v>0</v>
      </c>
      <c r="C30" s="92">
        <v>0</v>
      </c>
      <c r="D30" s="92">
        <v>0</v>
      </c>
      <c r="E30" s="92">
        <v>0</v>
      </c>
      <c r="F30" s="92">
        <v>0</v>
      </c>
      <c r="G30" s="92">
        <v>0</v>
      </c>
      <c r="H30" s="92">
        <v>0</v>
      </c>
      <c r="I30" s="92">
        <v>0</v>
      </c>
      <c r="J30" s="92">
        <v>0</v>
      </c>
      <c r="K30" s="92">
        <v>0</v>
      </c>
      <c r="L30" s="92">
        <v>0</v>
      </c>
      <c r="M30" s="92">
        <v>0</v>
      </c>
      <c r="N30" s="92">
        <v>0</v>
      </c>
      <c r="O30" s="92">
        <v>0</v>
      </c>
      <c r="P30" s="92">
        <v>0</v>
      </c>
      <c r="Q30" s="92">
        <v>0</v>
      </c>
      <c r="R30" s="92">
        <v>0</v>
      </c>
      <c r="S30" s="92">
        <v>0</v>
      </c>
      <c r="T30" s="92">
        <v>0</v>
      </c>
      <c r="U30" s="92">
        <v>0</v>
      </c>
      <c r="V30" s="92">
        <v>0</v>
      </c>
      <c r="W30" s="92">
        <v>0</v>
      </c>
      <c r="X30" s="92">
        <v>0</v>
      </c>
      <c r="Y30" s="92">
        <v>0</v>
      </c>
      <c r="Z30" s="92">
        <v>0</v>
      </c>
      <c r="AA30" s="92">
        <v>0</v>
      </c>
      <c r="AB30" s="92">
        <v>0</v>
      </c>
      <c r="AC30" s="92">
        <v>0</v>
      </c>
      <c r="AD30" s="92">
        <v>0</v>
      </c>
      <c r="AE30" s="92">
        <v>0</v>
      </c>
      <c r="AF30" s="92">
        <v>0</v>
      </c>
      <c r="AG30" s="92">
        <v>0</v>
      </c>
      <c r="AH30" s="92">
        <v>0</v>
      </c>
      <c r="AI30" s="358">
        <v>0</v>
      </c>
      <c r="AJ30" s="358">
        <v>0</v>
      </c>
      <c r="AK30" s="358">
        <v>0</v>
      </c>
      <c r="AL30" s="358">
        <v>0</v>
      </c>
      <c r="AM30" s="358">
        <v>0</v>
      </c>
      <c r="AN30" s="358">
        <v>0</v>
      </c>
      <c r="AO30" s="358">
        <v>0</v>
      </c>
      <c r="AP30" s="358">
        <v>0</v>
      </c>
    </row>
    <row r="31" spans="1:42" ht="48">
      <c r="A31" s="91" t="s">
        <v>359</v>
      </c>
      <c r="B31" s="92">
        <v>0</v>
      </c>
      <c r="C31" s="92">
        <v>0</v>
      </c>
      <c r="D31" s="92">
        <v>0</v>
      </c>
      <c r="E31" s="92">
        <v>0</v>
      </c>
      <c r="F31" s="92">
        <v>0</v>
      </c>
      <c r="G31" s="92">
        <v>0</v>
      </c>
      <c r="H31" s="92">
        <v>0</v>
      </c>
      <c r="I31" s="92">
        <v>0</v>
      </c>
      <c r="J31" s="92">
        <v>0</v>
      </c>
      <c r="K31" s="92">
        <v>0</v>
      </c>
      <c r="L31" s="92">
        <v>0</v>
      </c>
      <c r="M31" s="92">
        <v>0</v>
      </c>
      <c r="N31" s="92">
        <v>0</v>
      </c>
      <c r="O31" s="92">
        <v>0</v>
      </c>
      <c r="P31" s="92">
        <v>0</v>
      </c>
      <c r="Q31" s="92">
        <v>0</v>
      </c>
      <c r="R31" s="92">
        <v>0</v>
      </c>
      <c r="S31" s="92">
        <v>0</v>
      </c>
      <c r="T31" s="92">
        <v>0</v>
      </c>
      <c r="U31" s="92">
        <v>0</v>
      </c>
      <c r="V31" s="92">
        <v>0</v>
      </c>
      <c r="W31" s="92">
        <v>0</v>
      </c>
      <c r="X31" s="92">
        <v>0</v>
      </c>
      <c r="Y31" s="92">
        <v>0</v>
      </c>
      <c r="Z31" s="92">
        <v>0</v>
      </c>
      <c r="AA31" s="92">
        <v>0</v>
      </c>
      <c r="AB31" s="92">
        <v>0</v>
      </c>
      <c r="AC31" s="92">
        <v>0</v>
      </c>
      <c r="AD31" s="92">
        <v>0</v>
      </c>
      <c r="AE31" s="92">
        <v>0</v>
      </c>
      <c r="AF31" s="92">
        <v>0</v>
      </c>
      <c r="AG31" s="92">
        <v>0</v>
      </c>
      <c r="AH31" s="92">
        <v>0</v>
      </c>
      <c r="AI31" s="358">
        <v>0</v>
      </c>
      <c r="AJ31" s="358">
        <v>0</v>
      </c>
      <c r="AK31" s="358">
        <v>0</v>
      </c>
      <c r="AL31" s="358">
        <v>0</v>
      </c>
      <c r="AM31" s="358">
        <v>0</v>
      </c>
      <c r="AN31" s="358">
        <v>0</v>
      </c>
      <c r="AO31" s="358">
        <v>0</v>
      </c>
      <c r="AP31" s="358">
        <v>0</v>
      </c>
    </row>
    <row r="32" spans="1:42" ht="36">
      <c r="A32" s="91" t="s">
        <v>409</v>
      </c>
      <c r="B32" s="92">
        <v>0</v>
      </c>
      <c r="C32" s="92">
        <v>0</v>
      </c>
      <c r="D32" s="92">
        <v>0</v>
      </c>
      <c r="E32" s="92">
        <v>0</v>
      </c>
      <c r="F32" s="92">
        <v>0</v>
      </c>
      <c r="G32" s="92">
        <v>0</v>
      </c>
      <c r="H32" s="92">
        <v>0</v>
      </c>
      <c r="I32" s="92">
        <v>0</v>
      </c>
      <c r="J32" s="92">
        <v>0</v>
      </c>
      <c r="K32" s="92">
        <v>0</v>
      </c>
      <c r="L32" s="92">
        <v>0</v>
      </c>
      <c r="M32" s="92">
        <v>0</v>
      </c>
      <c r="N32" s="92">
        <v>0</v>
      </c>
      <c r="O32" s="92">
        <v>0</v>
      </c>
      <c r="P32" s="92">
        <v>0</v>
      </c>
      <c r="Q32" s="92">
        <v>0</v>
      </c>
      <c r="R32" s="92">
        <v>0</v>
      </c>
      <c r="S32" s="92">
        <v>0</v>
      </c>
      <c r="T32" s="92">
        <v>0</v>
      </c>
      <c r="U32" s="92">
        <v>0</v>
      </c>
      <c r="V32" s="92">
        <v>0</v>
      </c>
      <c r="W32" s="92">
        <v>0</v>
      </c>
      <c r="X32" s="92">
        <v>0</v>
      </c>
      <c r="Y32" s="92">
        <v>0</v>
      </c>
      <c r="Z32" s="92">
        <v>0</v>
      </c>
      <c r="AA32" s="92">
        <v>0</v>
      </c>
      <c r="AB32" s="92">
        <v>0</v>
      </c>
      <c r="AC32" s="92">
        <v>0</v>
      </c>
      <c r="AD32" s="92">
        <v>0</v>
      </c>
      <c r="AE32" s="92">
        <v>0</v>
      </c>
      <c r="AF32" s="92">
        <v>0</v>
      </c>
      <c r="AG32" s="92">
        <v>0</v>
      </c>
      <c r="AH32" s="92">
        <v>0</v>
      </c>
      <c r="AI32" s="358">
        <v>0</v>
      </c>
      <c r="AJ32" s="358">
        <v>0</v>
      </c>
      <c r="AK32" s="358">
        <v>0</v>
      </c>
      <c r="AL32" s="358">
        <v>0</v>
      </c>
      <c r="AM32" s="358">
        <v>0</v>
      </c>
      <c r="AN32" s="358">
        <v>0</v>
      </c>
      <c r="AO32" s="358">
        <v>0</v>
      </c>
      <c r="AP32" s="358">
        <v>0</v>
      </c>
    </row>
    <row r="33" spans="1:42" ht="36">
      <c r="A33" s="91" t="s">
        <v>99</v>
      </c>
      <c r="B33" s="92">
        <v>0</v>
      </c>
      <c r="C33" s="92">
        <v>0</v>
      </c>
      <c r="D33" s="92">
        <v>0</v>
      </c>
      <c r="E33" s="92">
        <v>0</v>
      </c>
      <c r="F33" s="92">
        <v>0</v>
      </c>
      <c r="G33" s="92">
        <v>0</v>
      </c>
      <c r="H33" s="92">
        <v>0</v>
      </c>
      <c r="I33" s="92">
        <v>0</v>
      </c>
      <c r="J33" s="92">
        <v>0</v>
      </c>
      <c r="K33" s="92">
        <v>0</v>
      </c>
      <c r="L33" s="92">
        <v>0</v>
      </c>
      <c r="M33" s="92">
        <v>0</v>
      </c>
      <c r="N33" s="92">
        <v>0</v>
      </c>
      <c r="O33" s="92">
        <v>0</v>
      </c>
      <c r="P33" s="92">
        <v>0</v>
      </c>
      <c r="Q33" s="92">
        <v>0</v>
      </c>
      <c r="R33" s="92">
        <v>0</v>
      </c>
      <c r="S33" s="92">
        <v>0</v>
      </c>
      <c r="T33" s="92">
        <v>0</v>
      </c>
      <c r="U33" s="92">
        <v>0</v>
      </c>
      <c r="V33" s="92">
        <v>0</v>
      </c>
      <c r="W33" s="92">
        <v>0</v>
      </c>
      <c r="X33" s="92">
        <v>0</v>
      </c>
      <c r="Y33" s="92">
        <v>0</v>
      </c>
      <c r="Z33" s="92">
        <v>0</v>
      </c>
      <c r="AA33" s="92">
        <v>0</v>
      </c>
      <c r="AB33" s="92">
        <v>0</v>
      </c>
      <c r="AC33" s="92">
        <v>0</v>
      </c>
      <c r="AD33" s="92">
        <v>0</v>
      </c>
      <c r="AE33" s="92">
        <v>0</v>
      </c>
      <c r="AF33" s="92">
        <v>0</v>
      </c>
      <c r="AG33" s="92">
        <v>0</v>
      </c>
      <c r="AH33" s="92">
        <v>0</v>
      </c>
      <c r="AI33" s="358">
        <v>0</v>
      </c>
      <c r="AJ33" s="358">
        <v>0</v>
      </c>
      <c r="AK33" s="358">
        <v>0</v>
      </c>
      <c r="AL33" s="358">
        <v>0</v>
      </c>
      <c r="AM33" s="358">
        <v>0</v>
      </c>
      <c r="AN33" s="358">
        <v>0</v>
      </c>
      <c r="AO33" s="358">
        <v>0</v>
      </c>
      <c r="AP33" s="358">
        <v>0</v>
      </c>
    </row>
    <row r="34" spans="1:42" ht="60">
      <c r="A34" s="91" t="s">
        <v>410</v>
      </c>
      <c r="B34" s="143">
        <v>0</v>
      </c>
      <c r="C34" s="143">
        <v>0</v>
      </c>
      <c r="D34" s="143">
        <v>0</v>
      </c>
      <c r="E34" s="143">
        <v>0</v>
      </c>
      <c r="F34" s="143">
        <v>0</v>
      </c>
      <c r="G34" s="143">
        <v>0</v>
      </c>
      <c r="H34" s="143">
        <v>0</v>
      </c>
      <c r="I34" s="143">
        <v>0</v>
      </c>
      <c r="J34" s="143">
        <v>0</v>
      </c>
      <c r="K34" s="143">
        <v>0</v>
      </c>
      <c r="L34" s="143">
        <v>0</v>
      </c>
      <c r="M34" s="143">
        <v>0</v>
      </c>
      <c r="N34" s="143">
        <v>0</v>
      </c>
      <c r="O34" s="143">
        <v>0</v>
      </c>
      <c r="P34" s="143">
        <v>0</v>
      </c>
      <c r="Q34" s="143">
        <v>0</v>
      </c>
      <c r="R34" s="143">
        <v>0</v>
      </c>
      <c r="S34" s="143">
        <v>0</v>
      </c>
      <c r="T34" s="143">
        <v>0</v>
      </c>
      <c r="U34" s="143">
        <v>0</v>
      </c>
      <c r="V34" s="143">
        <v>0</v>
      </c>
      <c r="W34" s="143">
        <v>0</v>
      </c>
      <c r="X34" s="143">
        <v>0</v>
      </c>
      <c r="Y34" s="143">
        <v>0</v>
      </c>
      <c r="Z34" s="143">
        <v>0</v>
      </c>
      <c r="AA34" s="143">
        <v>0</v>
      </c>
      <c r="AB34" s="143">
        <v>0</v>
      </c>
      <c r="AC34" s="143">
        <v>0</v>
      </c>
      <c r="AD34" s="143">
        <v>0</v>
      </c>
      <c r="AE34" s="143">
        <v>0</v>
      </c>
      <c r="AF34" s="143">
        <v>0</v>
      </c>
      <c r="AG34" s="143">
        <v>0</v>
      </c>
      <c r="AH34" s="143">
        <v>0</v>
      </c>
      <c r="AI34" s="342">
        <v>0</v>
      </c>
      <c r="AJ34" s="342">
        <v>0</v>
      </c>
      <c r="AK34" s="342">
        <v>0</v>
      </c>
      <c r="AL34" s="342">
        <v>0</v>
      </c>
      <c r="AM34" s="342">
        <v>0</v>
      </c>
      <c r="AN34" s="342">
        <v>0</v>
      </c>
      <c r="AO34" s="342">
        <v>0</v>
      </c>
      <c r="AP34" s="342">
        <v>0</v>
      </c>
    </row>
    <row r="35" spans="1:42">
      <c r="A35" s="93" t="s">
        <v>411</v>
      </c>
      <c r="B35" s="94">
        <v>521.41815115928091</v>
      </c>
      <c r="C35" s="94">
        <v>524.67701460402657</v>
      </c>
      <c r="D35" s="94">
        <v>527.935878048772</v>
      </c>
      <c r="E35" s="94">
        <v>531.19474149351743</v>
      </c>
      <c r="F35" s="94">
        <v>534.45360493826286</v>
      </c>
      <c r="G35" s="94">
        <v>537.94343674166328</v>
      </c>
      <c r="H35" s="94">
        <v>517.97081868622581</v>
      </c>
      <c r="I35" s="94">
        <v>497.70852388014418</v>
      </c>
      <c r="J35" s="94">
        <v>477.1565523234184</v>
      </c>
      <c r="K35" s="94">
        <v>464.89629827853582</v>
      </c>
      <c r="L35" s="94">
        <v>452.63604423365308</v>
      </c>
      <c r="M35" s="94">
        <v>440.78625395757967</v>
      </c>
      <c r="N35" s="94">
        <v>428.82031959258279</v>
      </c>
      <c r="O35" s="94">
        <v>416.73824113866237</v>
      </c>
      <c r="P35" s="94">
        <v>404.40797860454256</v>
      </c>
      <c r="Q35" s="94">
        <v>392.17782721977937</v>
      </c>
      <c r="R35" s="94">
        <v>386.23566960614266</v>
      </c>
      <c r="S35" s="94">
        <v>378.07033388467028</v>
      </c>
      <c r="T35" s="94">
        <v>369.09789870145215</v>
      </c>
      <c r="U35" s="94">
        <v>359.25553078475258</v>
      </c>
      <c r="V35" s="94">
        <v>306.65717290192254</v>
      </c>
      <c r="W35" s="94">
        <v>258.88105618779889</v>
      </c>
      <c r="X35" s="94">
        <v>254.15669630738341</v>
      </c>
      <c r="Y35" s="94">
        <v>235.16430457457028</v>
      </c>
      <c r="Z35" s="94">
        <v>201.59200316258546</v>
      </c>
      <c r="AA35" s="94">
        <v>217.04290255818734</v>
      </c>
      <c r="AB35" s="94">
        <v>218.69387656277252</v>
      </c>
      <c r="AC35" s="94">
        <v>189.56342647407521</v>
      </c>
      <c r="AD35" s="94">
        <v>200.39015924803272</v>
      </c>
      <c r="AE35" s="94">
        <v>185.27895696531542</v>
      </c>
      <c r="AF35" s="94">
        <v>186.3228652944272</v>
      </c>
      <c r="AG35" s="94">
        <v>174.2356944571342</v>
      </c>
      <c r="AH35" s="94">
        <v>174.2356944571342</v>
      </c>
      <c r="AI35" s="337">
        <f>SUM(AI25:AI34)</f>
        <v>185.05508334837745</v>
      </c>
      <c r="AJ35" s="337">
        <f>SUM(AJ25:AJ34)</f>
        <v>184.77214733475813</v>
      </c>
      <c r="AK35" s="337">
        <f t="shared" ref="AK35:AP35" si="5">SUM(AK25:AK34)</f>
        <v>184.48921132113884</v>
      </c>
      <c r="AL35" s="337">
        <f t="shared" si="5"/>
        <v>184.39735248031403</v>
      </c>
      <c r="AM35" s="337">
        <f t="shared" si="5"/>
        <v>184.30549363948921</v>
      </c>
      <c r="AN35" s="337">
        <f t="shared" si="5"/>
        <v>184.2136347986644</v>
      </c>
      <c r="AO35" s="337">
        <f t="shared" si="5"/>
        <v>184.07942452865012</v>
      </c>
      <c r="AP35" s="337">
        <f t="shared" si="5"/>
        <v>183.94521425863581</v>
      </c>
    </row>
    <row r="36" spans="1:42" ht="15">
      <c r="A36" s="95"/>
      <c r="B36" s="96"/>
      <c r="C36" s="96"/>
      <c r="D36" s="96"/>
      <c r="E36" s="96"/>
      <c r="F36" s="96"/>
      <c r="G36" s="96"/>
      <c r="H36" s="96"/>
      <c r="I36" s="96"/>
      <c r="J36" s="96"/>
      <c r="K36" s="70"/>
      <c r="L36" s="70"/>
      <c r="M36" s="70"/>
      <c r="N36" s="70"/>
      <c r="O36" s="70"/>
      <c r="P36" s="70"/>
      <c r="Q36" s="70"/>
      <c r="R36" s="70"/>
      <c r="S36" s="70"/>
      <c r="T36" s="70"/>
      <c r="U36" s="70"/>
      <c r="V36" s="70"/>
      <c r="W36" s="70"/>
      <c r="X36" s="70"/>
      <c r="Y36" s="70"/>
      <c r="Z36" s="70"/>
      <c r="AA36" s="70"/>
      <c r="AB36" s="70"/>
      <c r="AC36" s="70"/>
      <c r="AD36" s="70"/>
      <c r="AE36" s="70"/>
      <c r="AF36" s="70"/>
      <c r="AG36" s="97"/>
      <c r="AH36" s="70"/>
      <c r="AJ36" s="153"/>
    </row>
    <row r="37" spans="1:42">
      <c r="A37" s="98" t="s">
        <v>397</v>
      </c>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426" t="s">
        <v>393</v>
      </c>
      <c r="AJ37" s="426"/>
      <c r="AK37" s="426"/>
      <c r="AL37" s="426"/>
      <c r="AM37" s="426"/>
      <c r="AN37" s="426"/>
      <c r="AO37" s="426"/>
      <c r="AP37" s="426"/>
    </row>
    <row r="38" spans="1:42" ht="105.6">
      <c r="A38" s="75" t="s">
        <v>481</v>
      </c>
      <c r="B38" s="76">
        <v>1990</v>
      </c>
      <c r="C38" s="76">
        <v>1991</v>
      </c>
      <c r="D38" s="76">
        <v>1992</v>
      </c>
      <c r="E38" s="76">
        <v>1993</v>
      </c>
      <c r="F38" s="76">
        <v>1994</v>
      </c>
      <c r="G38" s="76">
        <v>1995</v>
      </c>
      <c r="H38" s="76">
        <v>1996</v>
      </c>
      <c r="I38" s="76">
        <v>1997</v>
      </c>
      <c r="J38" s="76">
        <v>1998</v>
      </c>
      <c r="K38" s="76">
        <v>1999</v>
      </c>
      <c r="L38" s="76">
        <v>2000</v>
      </c>
      <c r="M38" s="76">
        <v>2001</v>
      </c>
      <c r="N38" s="76">
        <v>2002</v>
      </c>
      <c r="O38" s="76">
        <v>2003</v>
      </c>
      <c r="P38" s="76">
        <v>2004</v>
      </c>
      <c r="Q38" s="76">
        <v>2005</v>
      </c>
      <c r="R38" s="76">
        <v>2006</v>
      </c>
      <c r="S38" s="76">
        <v>2007</v>
      </c>
      <c r="T38" s="76">
        <v>2008</v>
      </c>
      <c r="U38" s="76">
        <v>2009</v>
      </c>
      <c r="V38" s="76">
        <v>2010</v>
      </c>
      <c r="W38" s="76">
        <v>2011</v>
      </c>
      <c r="X38" s="76">
        <v>2012</v>
      </c>
      <c r="Y38" s="76">
        <v>2013</v>
      </c>
      <c r="Z38" s="76">
        <v>2014</v>
      </c>
      <c r="AA38" s="76">
        <v>2015</v>
      </c>
      <c r="AB38" s="76">
        <v>2016</v>
      </c>
      <c r="AC38" s="76">
        <v>2017</v>
      </c>
      <c r="AD38" s="76">
        <v>2018</v>
      </c>
      <c r="AE38" s="76">
        <v>2019</v>
      </c>
      <c r="AF38" s="76">
        <v>2020</v>
      </c>
      <c r="AG38" s="77">
        <v>2021</v>
      </c>
      <c r="AH38" s="77" t="s">
        <v>395</v>
      </c>
      <c r="AI38" s="76">
        <v>2023</v>
      </c>
      <c r="AJ38" s="152">
        <v>2024</v>
      </c>
      <c r="AK38" s="76">
        <v>2025</v>
      </c>
      <c r="AL38" s="152">
        <v>2026</v>
      </c>
      <c r="AM38" s="152">
        <v>2027</v>
      </c>
      <c r="AN38" s="76">
        <v>2028</v>
      </c>
      <c r="AO38" s="152">
        <v>2029</v>
      </c>
      <c r="AP38" s="76">
        <v>2030</v>
      </c>
    </row>
    <row r="39" spans="1:42">
      <c r="A39" s="100" t="s">
        <v>120</v>
      </c>
      <c r="B39" s="92">
        <v>5428.6882025139284</v>
      </c>
      <c r="C39" s="92">
        <v>6074.070388618703</v>
      </c>
      <c r="D39" s="92">
        <v>5232.8000551545119</v>
      </c>
      <c r="E39" s="92">
        <v>3780.1992679877189</v>
      </c>
      <c r="F39" s="92">
        <v>2641.8782010276327</v>
      </c>
      <c r="G39" s="92">
        <v>1068.810115443327</v>
      </c>
      <c r="H39" s="92">
        <v>1208.3408315439401</v>
      </c>
      <c r="I39" s="92">
        <v>1291.7101597585454</v>
      </c>
      <c r="J39" s="92">
        <v>1123.269349802368</v>
      </c>
      <c r="K39" s="92">
        <v>1477.3493793446235</v>
      </c>
      <c r="L39" s="92">
        <v>1393.426469441885</v>
      </c>
      <c r="M39" s="92">
        <v>1574.933920660289</v>
      </c>
      <c r="N39" s="92">
        <v>1615.9050229928939</v>
      </c>
      <c r="O39" s="92">
        <v>1771.6211869234794</v>
      </c>
      <c r="P39" s="92">
        <v>1818.5743022766828</v>
      </c>
      <c r="Q39" s="92">
        <v>1803.7454265570052</v>
      </c>
      <c r="R39" s="92">
        <v>1838.1796180582505</v>
      </c>
      <c r="S39" s="92">
        <v>1604.5481696455302</v>
      </c>
      <c r="T39" s="92">
        <v>1684.8777430572186</v>
      </c>
      <c r="U39" s="92">
        <v>1543.5259139173022</v>
      </c>
      <c r="V39" s="92">
        <v>1522.027222440071</v>
      </c>
      <c r="W39" s="92">
        <v>1619.2540093831528</v>
      </c>
      <c r="X39" s="92">
        <v>1730.3994192975906</v>
      </c>
      <c r="Y39" s="92">
        <v>1725.0420235491879</v>
      </c>
      <c r="Z39" s="92">
        <v>1670.9786019761102</v>
      </c>
      <c r="AA39" s="92">
        <v>1752.7510929174564</v>
      </c>
      <c r="AB39" s="92">
        <v>1739.4118438640282</v>
      </c>
      <c r="AC39" s="92">
        <v>1718.6402921274557</v>
      </c>
      <c r="AD39" s="92">
        <v>1576.0536788816542</v>
      </c>
      <c r="AE39" s="92">
        <v>1480.0511835704312</v>
      </c>
      <c r="AF39" s="92">
        <v>1409.7177791012623</v>
      </c>
      <c r="AG39" s="92">
        <v>1201.914712806323</v>
      </c>
      <c r="AH39" s="92">
        <v>1128.4287911517672</v>
      </c>
      <c r="AI39" s="338">
        <v>749.8823791023741</v>
      </c>
      <c r="AJ39" s="338">
        <f>AI39+(AK39-AI39)/2</f>
        <v>666.68936137108722</v>
      </c>
      <c r="AK39" s="338">
        <v>583.49634363980044</v>
      </c>
      <c r="AL39" s="338">
        <f>AK39+(AN39-AK39)/3</f>
        <v>540.95360443346317</v>
      </c>
      <c r="AM39" s="338">
        <f>AK39+(AN39-AK39)*2/3</f>
        <v>498.41086522712595</v>
      </c>
      <c r="AN39" s="338">
        <v>455.86812602078874</v>
      </c>
      <c r="AO39" s="338">
        <f>AN39+(AP39-AN39)/2</f>
        <v>444.73902570578468</v>
      </c>
      <c r="AP39" s="338">
        <v>433.60992539078057</v>
      </c>
    </row>
    <row r="40" spans="1:42">
      <c r="A40" s="100" t="s">
        <v>27</v>
      </c>
      <c r="B40" s="92">
        <v>0</v>
      </c>
      <c r="C40" s="92">
        <v>0</v>
      </c>
      <c r="D40" s="92">
        <v>0</v>
      </c>
      <c r="E40" s="92">
        <v>0</v>
      </c>
      <c r="F40" s="92">
        <v>0</v>
      </c>
      <c r="G40" s="92">
        <v>0</v>
      </c>
      <c r="H40" s="92">
        <v>0</v>
      </c>
      <c r="I40" s="92">
        <v>0</v>
      </c>
      <c r="J40" s="92">
        <v>0</v>
      </c>
      <c r="K40" s="92">
        <v>0</v>
      </c>
      <c r="L40" s="92">
        <v>0</v>
      </c>
      <c r="M40" s="92">
        <v>0</v>
      </c>
      <c r="N40" s="92">
        <v>0</v>
      </c>
      <c r="O40" s="92">
        <v>0</v>
      </c>
      <c r="P40" s="92">
        <v>0</v>
      </c>
      <c r="Q40" s="92">
        <v>0</v>
      </c>
      <c r="R40" s="92">
        <v>0</v>
      </c>
      <c r="S40" s="92">
        <v>0</v>
      </c>
      <c r="T40" s="92">
        <v>0</v>
      </c>
      <c r="U40" s="92">
        <v>0</v>
      </c>
      <c r="V40" s="92">
        <v>0</v>
      </c>
      <c r="W40" s="92">
        <v>0</v>
      </c>
      <c r="X40" s="92">
        <v>0</v>
      </c>
      <c r="Y40" s="92">
        <v>0</v>
      </c>
      <c r="Z40" s="92">
        <v>0</v>
      </c>
      <c r="AA40" s="92">
        <v>0</v>
      </c>
      <c r="AB40" s="92">
        <v>0</v>
      </c>
      <c r="AC40" s="92">
        <v>0</v>
      </c>
      <c r="AD40" s="92">
        <v>0</v>
      </c>
      <c r="AE40" s="92">
        <v>0</v>
      </c>
      <c r="AF40" s="92">
        <v>0</v>
      </c>
      <c r="AG40" s="92">
        <v>0</v>
      </c>
      <c r="AH40" s="92">
        <v>0</v>
      </c>
      <c r="AI40" s="338">
        <v>0</v>
      </c>
      <c r="AJ40" s="338">
        <f t="shared" ref="AJ40:AJ47" si="6">AI40+(AK40-AI40)/2</f>
        <v>0</v>
      </c>
      <c r="AK40" s="338">
        <v>0</v>
      </c>
      <c r="AL40" s="338">
        <f t="shared" ref="AL40:AL47" si="7">AK40+(AN40-AK40)/3</f>
        <v>0</v>
      </c>
      <c r="AM40" s="338">
        <f t="shared" ref="AM40:AM47" si="8">AK40+(AN40-AK40)*2/3</f>
        <v>0</v>
      </c>
      <c r="AN40" s="338">
        <v>0</v>
      </c>
      <c r="AO40" s="338">
        <f t="shared" ref="AO40:AO47" si="9">AN40+(AP40-AN40)/2</f>
        <v>0</v>
      </c>
      <c r="AP40" s="338">
        <v>0</v>
      </c>
    </row>
    <row r="41" spans="1:42" ht="48">
      <c r="A41" s="100" t="s">
        <v>121</v>
      </c>
      <c r="B41" s="92">
        <v>1072.6148120382877</v>
      </c>
      <c r="C41" s="92">
        <v>1142.8196609097843</v>
      </c>
      <c r="D41" s="92">
        <v>1190.5279979129527</v>
      </c>
      <c r="E41" s="92">
        <v>1271.9441804494647</v>
      </c>
      <c r="F41" s="92">
        <v>1309.2965439130182</v>
      </c>
      <c r="G41" s="92">
        <v>1422.1539107268784</v>
      </c>
      <c r="H41" s="92">
        <v>1566.9194411496369</v>
      </c>
      <c r="I41" s="92">
        <v>1557.8473463155888</v>
      </c>
      <c r="J41" s="92">
        <v>1493.0862279634885</v>
      </c>
      <c r="K41" s="92">
        <v>1447.1580932656125</v>
      </c>
      <c r="L41" s="92">
        <v>1573.2122365252571</v>
      </c>
      <c r="M41" s="92">
        <v>1594.9583208381907</v>
      </c>
      <c r="N41" s="92">
        <v>1601.8080013923857</v>
      </c>
      <c r="O41" s="92">
        <v>1532.3732977543411</v>
      </c>
      <c r="P41" s="92">
        <v>1529.4896540385635</v>
      </c>
      <c r="Q41" s="92">
        <v>1403.0797981239066</v>
      </c>
      <c r="R41" s="92">
        <v>1323.1741405982229</v>
      </c>
      <c r="S41" s="92">
        <v>1203.9288099314454</v>
      </c>
      <c r="T41" s="92">
        <v>1270.7942470732467</v>
      </c>
      <c r="U41" s="92">
        <v>995.31682580805921</v>
      </c>
      <c r="V41" s="92">
        <v>1015.3595837599477</v>
      </c>
      <c r="W41" s="92">
        <v>1067.5040170680986</v>
      </c>
      <c r="X41" s="92">
        <v>1010.3217154371404</v>
      </c>
      <c r="Y41" s="92">
        <v>870.50728132154666</v>
      </c>
      <c r="Z41" s="92">
        <v>785.37758883458969</v>
      </c>
      <c r="AA41" s="92">
        <v>761.53382995244874</v>
      </c>
      <c r="AB41" s="92">
        <v>802.74715447059123</v>
      </c>
      <c r="AC41" s="92">
        <v>884.10102838306398</v>
      </c>
      <c r="AD41" s="92">
        <v>769.59966615689552</v>
      </c>
      <c r="AE41" s="92">
        <v>685.52369192814876</v>
      </c>
      <c r="AF41" s="92">
        <v>607.08859602315749</v>
      </c>
      <c r="AG41" s="92">
        <v>559.45489545096143</v>
      </c>
      <c r="AH41" s="92">
        <v>561.95103131786379</v>
      </c>
      <c r="AI41" s="338">
        <v>443.44785638896929</v>
      </c>
      <c r="AJ41" s="338">
        <f t="shared" si="6"/>
        <v>415.38464963832928</v>
      </c>
      <c r="AK41" s="338">
        <v>387.32144288768927</v>
      </c>
      <c r="AL41" s="338">
        <f t="shared" si="7"/>
        <v>372.88449915650347</v>
      </c>
      <c r="AM41" s="338">
        <f t="shared" si="8"/>
        <v>358.44755542531772</v>
      </c>
      <c r="AN41" s="338">
        <v>344.01061169413191</v>
      </c>
      <c r="AO41" s="338">
        <f t="shared" si="9"/>
        <v>328.94561046228529</v>
      </c>
      <c r="AP41" s="338">
        <v>313.88060923043867</v>
      </c>
    </row>
    <row r="42" spans="1:42" ht="24">
      <c r="A42" s="100" t="s">
        <v>328</v>
      </c>
      <c r="B42" s="92">
        <v>8.3196005139288669</v>
      </c>
      <c r="C42" s="92">
        <v>8.3307326187034221</v>
      </c>
      <c r="D42" s="92">
        <v>8.5222531545113274</v>
      </c>
      <c r="E42" s="92">
        <v>9.3059839877187436</v>
      </c>
      <c r="F42" s="92">
        <v>14.140235027632968</v>
      </c>
      <c r="G42" s="92">
        <v>51.671233930381568</v>
      </c>
      <c r="H42" s="92">
        <v>105.99144750406967</v>
      </c>
      <c r="I42" s="92">
        <v>165.47974019594412</v>
      </c>
      <c r="J42" s="92">
        <v>291.4544168602834</v>
      </c>
      <c r="K42" s="92">
        <v>389.15274568122459</v>
      </c>
      <c r="L42" s="92">
        <v>561.38362106096895</v>
      </c>
      <c r="M42" s="92">
        <v>707.98426577009786</v>
      </c>
      <c r="N42" s="92">
        <v>778.51090762704587</v>
      </c>
      <c r="O42" s="92">
        <v>902.81663455162186</v>
      </c>
      <c r="P42" s="92">
        <v>1022.638255780435</v>
      </c>
      <c r="Q42" s="92">
        <v>1112.2755671513023</v>
      </c>
      <c r="R42" s="92">
        <v>1198.129713073705</v>
      </c>
      <c r="S42" s="92">
        <v>1237.0791086683548</v>
      </c>
      <c r="T42" s="92">
        <v>1423.3475530779392</v>
      </c>
      <c r="U42" s="92">
        <v>1504.1825467124936</v>
      </c>
      <c r="V42" s="92">
        <v>1563.2400851205041</v>
      </c>
      <c r="W42" s="92">
        <v>1689.9268611771815</v>
      </c>
      <c r="X42" s="92">
        <v>1681.1922757880802</v>
      </c>
      <c r="Y42" s="92">
        <v>1654.2359071984167</v>
      </c>
      <c r="Z42" s="92">
        <v>1627.3532835158962</v>
      </c>
      <c r="AA42" s="92">
        <v>1594.3597207532493</v>
      </c>
      <c r="AB42" s="92">
        <v>1525.5546384949021</v>
      </c>
      <c r="AC42" s="92">
        <v>1466.7206388996542</v>
      </c>
      <c r="AD42" s="92">
        <v>1355.7169982800092</v>
      </c>
      <c r="AE42" s="92">
        <v>1218.2007441458802</v>
      </c>
      <c r="AF42" s="92">
        <v>1083.4615665239596</v>
      </c>
      <c r="AG42" s="92">
        <v>930.11202784361637</v>
      </c>
      <c r="AH42" s="92">
        <v>788.00320050611856</v>
      </c>
      <c r="AI42" s="338">
        <v>201.55787998000565</v>
      </c>
      <c r="AJ42" s="338">
        <f t="shared" si="6"/>
        <v>170.75589719664222</v>
      </c>
      <c r="AK42" s="338">
        <v>139.9539144132788</v>
      </c>
      <c r="AL42" s="338">
        <f t="shared" si="7"/>
        <v>126.31608718983252</v>
      </c>
      <c r="AM42" s="338">
        <f t="shared" si="8"/>
        <v>112.67825996638622</v>
      </c>
      <c r="AN42" s="338">
        <v>99.040432742939942</v>
      </c>
      <c r="AO42" s="338">
        <f t="shared" si="9"/>
        <v>100.1640033669554</v>
      </c>
      <c r="AP42" s="338">
        <v>101.28757399097086</v>
      </c>
    </row>
    <row r="43" spans="1:42" ht="36">
      <c r="A43" s="100" t="s">
        <v>330</v>
      </c>
      <c r="B43" s="92">
        <v>1.7811367639288676</v>
      </c>
      <c r="C43" s="92">
        <v>1.7922688687034227</v>
      </c>
      <c r="D43" s="92">
        <v>1.8034009734779786</v>
      </c>
      <c r="E43" s="92">
        <v>1.8145330782525333</v>
      </c>
      <c r="F43" s="92">
        <v>1.8256651830270889</v>
      </c>
      <c r="G43" s="92">
        <v>1.8367972878016445</v>
      </c>
      <c r="H43" s="92">
        <v>1.7657991973505913</v>
      </c>
      <c r="I43" s="92">
        <v>1.6938115864751331</v>
      </c>
      <c r="J43" s="92">
        <v>1.6208344551752696</v>
      </c>
      <c r="K43" s="92">
        <v>1.576181391351041</v>
      </c>
      <c r="L43" s="92">
        <v>1.5315283275268123</v>
      </c>
      <c r="M43" s="92">
        <v>1.4868752637025837</v>
      </c>
      <c r="N43" s="92">
        <v>1.4422221998783553</v>
      </c>
      <c r="O43" s="92">
        <v>1.3975691360541267</v>
      </c>
      <c r="P43" s="92">
        <v>1.3529160722298978</v>
      </c>
      <c r="Q43" s="92">
        <v>1.3082630084056697</v>
      </c>
      <c r="R43" s="92">
        <v>1.2815645081263025</v>
      </c>
      <c r="S43" s="92">
        <v>1.2548660078469351</v>
      </c>
      <c r="T43" s="92">
        <v>1.2257285109149245</v>
      </c>
      <c r="U43" s="92">
        <v>1.1932173140281019</v>
      </c>
      <c r="V43" s="92">
        <v>1.0144650975823928</v>
      </c>
      <c r="W43" s="92">
        <v>0.84742917788947558</v>
      </c>
      <c r="X43" s="92">
        <v>0.94589526777305744</v>
      </c>
      <c r="Y43" s="92">
        <v>1.0813702450663047</v>
      </c>
      <c r="Z43" s="92">
        <v>1.1520811783581053</v>
      </c>
      <c r="AA43" s="92">
        <v>1.225152884741411</v>
      </c>
      <c r="AB43" s="92">
        <v>1.2442018894880513</v>
      </c>
      <c r="AC43" s="92">
        <v>1.2889206607956643</v>
      </c>
      <c r="AD43" s="92">
        <v>1.3089389131735194</v>
      </c>
      <c r="AE43" s="92">
        <v>1.3996282127623623</v>
      </c>
      <c r="AF43" s="92">
        <v>1.4373621388529423</v>
      </c>
      <c r="AG43" s="92">
        <v>1.5734558768654021</v>
      </c>
      <c r="AH43" s="92">
        <v>1.5734558768654021</v>
      </c>
      <c r="AI43" s="338">
        <v>1.3570805163901709</v>
      </c>
      <c r="AJ43" s="338">
        <f t="shared" si="6"/>
        <v>1.3284003927501746</v>
      </c>
      <c r="AK43" s="338">
        <v>1.2997202691101784</v>
      </c>
      <c r="AL43" s="338">
        <f t="shared" si="7"/>
        <v>1.2738137030661709</v>
      </c>
      <c r="AM43" s="338">
        <f t="shared" si="8"/>
        <v>1.2479071370221637</v>
      </c>
      <c r="AN43" s="338">
        <v>1.2220005709781563</v>
      </c>
      <c r="AO43" s="338">
        <f t="shared" si="9"/>
        <v>1.198615581198311</v>
      </c>
      <c r="AP43" s="338">
        <v>1.175230591418466</v>
      </c>
    </row>
    <row r="44" spans="1:42" ht="36">
      <c r="A44" s="100" t="s">
        <v>41</v>
      </c>
      <c r="B44" s="92">
        <v>3955.4663998617552</v>
      </c>
      <c r="C44" s="92">
        <v>3586.4750213143561</v>
      </c>
      <c r="D44" s="92">
        <v>3782.5868432017387</v>
      </c>
      <c r="E44" s="92">
        <v>3410.2399020456432</v>
      </c>
      <c r="F44" s="92">
        <v>3059.0670748025923</v>
      </c>
      <c r="G44" s="92">
        <v>2723.7285371247581</v>
      </c>
      <c r="H44" s="92">
        <v>2464.6234575125677</v>
      </c>
      <c r="I44" s="92">
        <v>2574.3167700647364</v>
      </c>
      <c r="J44" s="92">
        <v>3226.0345153247404</v>
      </c>
      <c r="K44" s="92">
        <v>3731.3021683478719</v>
      </c>
      <c r="L44" s="92">
        <v>2494.2150763845916</v>
      </c>
      <c r="M44" s="92">
        <v>1843.5410918126156</v>
      </c>
      <c r="N44" s="92">
        <v>3051.6670700440818</v>
      </c>
      <c r="O44" s="92">
        <v>2647.4632047972864</v>
      </c>
      <c r="P44" s="92">
        <v>1842.1455986809256</v>
      </c>
      <c r="Q44" s="92">
        <v>1103.3399024609985</v>
      </c>
      <c r="R44" s="92">
        <v>923.37060939794537</v>
      </c>
      <c r="S44" s="92">
        <v>795.25192358070944</v>
      </c>
      <c r="T44" s="92">
        <v>366.9142205552314</v>
      </c>
      <c r="U44" s="92">
        <v>238.82957354658313</v>
      </c>
      <c r="V44" s="92">
        <v>245.33051379540734</v>
      </c>
      <c r="W44" s="92">
        <v>173.50232048498154</v>
      </c>
      <c r="X44" s="92">
        <v>222.92105737593988</v>
      </c>
      <c r="Y44" s="92">
        <v>179.02405790185685</v>
      </c>
      <c r="Z44" s="92">
        <v>127.14094030707655</v>
      </c>
      <c r="AA44" s="92">
        <v>95.773374547950311</v>
      </c>
      <c r="AB44" s="92">
        <v>161.30414218477094</v>
      </c>
      <c r="AC44" s="92">
        <v>93.204290589874688</v>
      </c>
      <c r="AD44" s="92">
        <v>118.18086281517333</v>
      </c>
      <c r="AE44" s="92">
        <v>92.43313029368862</v>
      </c>
      <c r="AF44" s="92">
        <v>63.606179480139446</v>
      </c>
      <c r="AG44" s="92">
        <v>46.865875342973425</v>
      </c>
      <c r="AH44" s="92">
        <v>43.08260391369523</v>
      </c>
      <c r="AI44" s="338">
        <v>59.881986481996719</v>
      </c>
      <c r="AJ44" s="338">
        <f t="shared" si="6"/>
        <v>62.023013910518657</v>
      </c>
      <c r="AK44" s="338">
        <v>64.164041339040594</v>
      </c>
      <c r="AL44" s="338">
        <f t="shared" si="7"/>
        <v>64.6630512032593</v>
      </c>
      <c r="AM44" s="338">
        <f t="shared" si="8"/>
        <v>65.162061067478007</v>
      </c>
      <c r="AN44" s="338">
        <v>65.661070931696713</v>
      </c>
      <c r="AO44" s="338">
        <f t="shared" si="9"/>
        <v>66.160080795915405</v>
      </c>
      <c r="AP44" s="338">
        <v>66.659090660134098</v>
      </c>
    </row>
    <row r="45" spans="1:42" ht="48">
      <c r="A45" s="100" t="s">
        <v>43</v>
      </c>
      <c r="B45" s="92">
        <v>1.7811367639288676</v>
      </c>
      <c r="C45" s="92">
        <v>1.7922688687034227</v>
      </c>
      <c r="D45" s="92">
        <v>1.8034009734779786</v>
      </c>
      <c r="E45" s="92">
        <v>1.8145330782525333</v>
      </c>
      <c r="F45" s="92">
        <v>1.8256651830270889</v>
      </c>
      <c r="G45" s="92">
        <v>1.8367972878016445</v>
      </c>
      <c r="H45" s="92">
        <v>1.7657991973505913</v>
      </c>
      <c r="I45" s="92">
        <v>1.6938115864751331</v>
      </c>
      <c r="J45" s="92">
        <v>1.6208344551752696</v>
      </c>
      <c r="K45" s="92">
        <v>1.576181391351041</v>
      </c>
      <c r="L45" s="92">
        <v>1.5315283275268123</v>
      </c>
      <c r="M45" s="92">
        <v>1.4868752637025837</v>
      </c>
      <c r="N45" s="92">
        <v>1.4422221998783553</v>
      </c>
      <c r="O45" s="92">
        <v>1.3975691360541267</v>
      </c>
      <c r="P45" s="92">
        <v>1.3529160722298978</v>
      </c>
      <c r="Q45" s="92">
        <v>1.3082630084056697</v>
      </c>
      <c r="R45" s="92">
        <v>1.2815645081263025</v>
      </c>
      <c r="S45" s="92">
        <v>1.2548660078469351</v>
      </c>
      <c r="T45" s="92">
        <v>1.2257285109149245</v>
      </c>
      <c r="U45" s="92">
        <v>1.1932173140281019</v>
      </c>
      <c r="V45" s="92">
        <v>1.0144650975823928</v>
      </c>
      <c r="W45" s="92">
        <v>0.84742917788947558</v>
      </c>
      <c r="X45" s="92">
        <v>0.8330157581730574</v>
      </c>
      <c r="Y45" s="92">
        <v>0.76966094545030461</v>
      </c>
      <c r="Z45" s="92">
        <v>0.6600242507267452</v>
      </c>
      <c r="AA45" s="92">
        <v>0.71638281021530537</v>
      </c>
      <c r="AB45" s="92">
        <v>0.72390021154299</v>
      </c>
      <c r="AC45" s="92">
        <v>0.62657304036840522</v>
      </c>
      <c r="AD45" s="92">
        <v>0.66831908556335073</v>
      </c>
      <c r="AE45" s="92">
        <v>0.6200768902566004</v>
      </c>
      <c r="AF45" s="92">
        <v>0.6254447092474108</v>
      </c>
      <c r="AG45" s="92">
        <v>0.58664746444409188</v>
      </c>
      <c r="AH45" s="92">
        <v>0.58664746444409177</v>
      </c>
      <c r="AI45" s="338">
        <v>0.62544470924741091</v>
      </c>
      <c r="AJ45" s="338">
        <f t="shared" si="6"/>
        <v>0.62544470924741091</v>
      </c>
      <c r="AK45" s="338">
        <v>0.62544470924741091</v>
      </c>
      <c r="AL45" s="338">
        <f t="shared" si="7"/>
        <v>0.62544470924741091</v>
      </c>
      <c r="AM45" s="338">
        <f t="shared" si="8"/>
        <v>0.62544470924741091</v>
      </c>
      <c r="AN45" s="338">
        <v>0.62544470924741091</v>
      </c>
      <c r="AO45" s="338">
        <f t="shared" si="9"/>
        <v>0.62544470924741091</v>
      </c>
      <c r="AP45" s="338">
        <v>0.62544470924741091</v>
      </c>
    </row>
    <row r="46" spans="1:42">
      <c r="A46" s="100" t="s">
        <v>46</v>
      </c>
      <c r="B46" s="92">
        <v>1.7811367639288676</v>
      </c>
      <c r="C46" s="92">
        <v>1.7922688687034227</v>
      </c>
      <c r="D46" s="92">
        <v>1.8034009734779786</v>
      </c>
      <c r="E46" s="92">
        <v>1.8145330782525333</v>
      </c>
      <c r="F46" s="92">
        <v>1.8256651830270889</v>
      </c>
      <c r="G46" s="92">
        <v>1.8367972878016445</v>
      </c>
      <c r="H46" s="92">
        <v>1.7657991973505913</v>
      </c>
      <c r="I46" s="92">
        <v>1.6938115864751331</v>
      </c>
      <c r="J46" s="92">
        <v>1.6208344551752696</v>
      </c>
      <c r="K46" s="92">
        <v>1.576181391351041</v>
      </c>
      <c r="L46" s="92">
        <v>1.5315283275268123</v>
      </c>
      <c r="M46" s="92">
        <v>1.4868752637025837</v>
      </c>
      <c r="N46" s="92">
        <v>1.4422221998783553</v>
      </c>
      <c r="O46" s="92">
        <v>1.3975691360541267</v>
      </c>
      <c r="P46" s="92">
        <v>1.3529160722298978</v>
      </c>
      <c r="Q46" s="92">
        <v>1.3082630084056697</v>
      </c>
      <c r="R46" s="92">
        <v>1.2815645081263025</v>
      </c>
      <c r="S46" s="92">
        <v>1.2548660078469351</v>
      </c>
      <c r="T46" s="92">
        <v>1.2257285109149245</v>
      </c>
      <c r="U46" s="92">
        <v>1.1932173140281019</v>
      </c>
      <c r="V46" s="92">
        <v>1.0144650975823928</v>
      </c>
      <c r="W46" s="92">
        <v>0.84742917788947558</v>
      </c>
      <c r="X46" s="92">
        <v>0.8330157581730574</v>
      </c>
      <c r="Y46" s="92">
        <v>0.76966094545030461</v>
      </c>
      <c r="Z46" s="92">
        <v>0.6600242507267452</v>
      </c>
      <c r="AA46" s="92">
        <v>0.71638281021530537</v>
      </c>
      <c r="AB46" s="92">
        <v>0.72390021154299</v>
      </c>
      <c r="AC46" s="92">
        <v>0.62657304036840522</v>
      </c>
      <c r="AD46" s="92">
        <v>0.66831908556335073</v>
      </c>
      <c r="AE46" s="92">
        <v>0.6200768902566004</v>
      </c>
      <c r="AF46" s="92">
        <v>0.6254447092474108</v>
      </c>
      <c r="AG46" s="92">
        <v>0.58664746444409188</v>
      </c>
      <c r="AH46" s="92">
        <v>0.58664746444409177</v>
      </c>
      <c r="AI46" s="338">
        <v>0.62544470924741091</v>
      </c>
      <c r="AJ46" s="338">
        <f t="shared" si="6"/>
        <v>0.62544470924741091</v>
      </c>
      <c r="AK46" s="338">
        <v>0.62544470924741091</v>
      </c>
      <c r="AL46" s="338">
        <f t="shared" si="7"/>
        <v>0.62544470924741091</v>
      </c>
      <c r="AM46" s="338">
        <f t="shared" si="8"/>
        <v>0.62544470924741091</v>
      </c>
      <c r="AN46" s="338">
        <v>0.62544470924741091</v>
      </c>
      <c r="AO46" s="338">
        <f t="shared" si="9"/>
        <v>0.62544470924741091</v>
      </c>
      <c r="AP46" s="338">
        <v>0.62544470924741091</v>
      </c>
    </row>
    <row r="47" spans="1:42" ht="36">
      <c r="A47" s="100" t="s">
        <v>47</v>
      </c>
      <c r="B47" s="92">
        <v>8.3196005139288669</v>
      </c>
      <c r="C47" s="92">
        <v>8.3307326187034221</v>
      </c>
      <c r="D47" s="92">
        <v>8.3819510419831662</v>
      </c>
      <c r="E47" s="92">
        <v>15.27605741900922</v>
      </c>
      <c r="F47" s="92">
        <v>32.413231733186294</v>
      </c>
      <c r="G47" s="92">
        <v>152.58397886916853</v>
      </c>
      <c r="H47" s="92">
        <v>280.67746417304136</v>
      </c>
      <c r="I47" s="92">
        <v>305.46520285418381</v>
      </c>
      <c r="J47" s="92">
        <v>319.23826363472</v>
      </c>
      <c r="K47" s="92">
        <v>334.92677297354544</v>
      </c>
      <c r="L47" s="92">
        <v>342.64058557467501</v>
      </c>
      <c r="M47" s="92">
        <v>360.25885826699016</v>
      </c>
      <c r="N47" s="92">
        <v>402.61564715904564</v>
      </c>
      <c r="O47" s="92">
        <v>437.207372231867</v>
      </c>
      <c r="P47" s="92">
        <v>386.25772567801232</v>
      </c>
      <c r="Q47" s="92">
        <v>368.33400509709475</v>
      </c>
      <c r="R47" s="92">
        <v>360.39470455500771</v>
      </c>
      <c r="S47" s="92">
        <v>316.88766274560135</v>
      </c>
      <c r="T47" s="92">
        <v>338.19915889832794</v>
      </c>
      <c r="U47" s="92">
        <v>347.22746447779821</v>
      </c>
      <c r="V47" s="92">
        <v>325.97867690477705</v>
      </c>
      <c r="W47" s="92">
        <v>345.11103642773304</v>
      </c>
      <c r="X47" s="92">
        <v>343.25503299597824</v>
      </c>
      <c r="Y47" s="92">
        <v>324.98181670728934</v>
      </c>
      <c r="Z47" s="92">
        <v>331.7504090813016</v>
      </c>
      <c r="AA47" s="92">
        <v>355.53234555263361</v>
      </c>
      <c r="AB47" s="92">
        <v>374.87020621310938</v>
      </c>
      <c r="AC47" s="92">
        <v>371.12018924164238</v>
      </c>
      <c r="AD47" s="92">
        <v>283.51015961200193</v>
      </c>
      <c r="AE47" s="92">
        <v>205.00112360658261</v>
      </c>
      <c r="AF47" s="92">
        <v>171.0157711134255</v>
      </c>
      <c r="AG47" s="92">
        <v>158.02176043026222</v>
      </c>
      <c r="AH47" s="92">
        <v>150.8808096372185</v>
      </c>
      <c r="AI47" s="338">
        <v>68.262438969052752</v>
      </c>
      <c r="AJ47" s="338">
        <f t="shared" si="6"/>
        <v>65.410091743873991</v>
      </c>
      <c r="AK47" s="338">
        <v>62.55774451869523</v>
      </c>
      <c r="AL47" s="338">
        <f t="shared" si="7"/>
        <v>59.535417347642309</v>
      </c>
      <c r="AM47" s="338">
        <f t="shared" si="8"/>
        <v>56.51309017658938</v>
      </c>
      <c r="AN47" s="338">
        <v>53.490763005536458</v>
      </c>
      <c r="AO47" s="338">
        <f t="shared" si="9"/>
        <v>50.864776677561508</v>
      </c>
      <c r="AP47" s="338">
        <v>48.238790349586552</v>
      </c>
    </row>
    <row r="48" spans="1:42">
      <c r="A48" s="101" t="s">
        <v>417</v>
      </c>
      <c r="B48" s="102">
        <v>10478.752025733618</v>
      </c>
      <c r="C48" s="102">
        <v>10825.403342686359</v>
      </c>
      <c r="D48" s="102">
        <v>10228.229303386133</v>
      </c>
      <c r="E48" s="102">
        <v>8492.4089911243118</v>
      </c>
      <c r="F48" s="102">
        <v>7062.2722820531435</v>
      </c>
      <c r="G48" s="102">
        <v>5424.4581679579178</v>
      </c>
      <c r="H48" s="102">
        <v>5631.8500394753091</v>
      </c>
      <c r="I48" s="102">
        <v>5899.9006539484235</v>
      </c>
      <c r="J48" s="102">
        <v>6457.9452769511254</v>
      </c>
      <c r="K48" s="102">
        <v>7384.6177037869311</v>
      </c>
      <c r="L48" s="102">
        <v>6369.4725739699579</v>
      </c>
      <c r="M48" s="102">
        <v>6086.1370831392906</v>
      </c>
      <c r="N48" s="102">
        <v>7454.833315815089</v>
      </c>
      <c r="O48" s="102">
        <v>7295.6744036667578</v>
      </c>
      <c r="P48" s="102">
        <v>6603.1642846713085</v>
      </c>
      <c r="Q48" s="102">
        <v>5794.6994884155229</v>
      </c>
      <c r="R48" s="102">
        <v>5647.0934792075104</v>
      </c>
      <c r="S48" s="102">
        <v>5161.4602725951827</v>
      </c>
      <c r="T48" s="102">
        <v>5087.8101081947098</v>
      </c>
      <c r="U48" s="102">
        <v>4632.6619764043216</v>
      </c>
      <c r="V48" s="102">
        <v>4674.9794773134554</v>
      </c>
      <c r="W48" s="102">
        <v>4897.8405320748152</v>
      </c>
      <c r="X48" s="102">
        <v>4990.7014276788495</v>
      </c>
      <c r="Y48" s="102">
        <v>4756.4117788142639</v>
      </c>
      <c r="Z48" s="102">
        <v>4545.0729533947851</v>
      </c>
      <c r="AA48" s="102">
        <v>4562.60828222891</v>
      </c>
      <c r="AB48" s="102">
        <v>4606.5799875399762</v>
      </c>
      <c r="AC48" s="102">
        <v>4536.3285059832224</v>
      </c>
      <c r="AD48" s="102">
        <v>4105.7069428300347</v>
      </c>
      <c r="AE48" s="102">
        <v>3683.8496555380066</v>
      </c>
      <c r="AF48" s="102">
        <v>3337.5781437992928</v>
      </c>
      <c r="AG48" s="102">
        <v>2899.1160226798897</v>
      </c>
      <c r="AH48" s="102">
        <v>2675.0931873324166</v>
      </c>
      <c r="AI48" s="359">
        <v>1525.6405108572835</v>
      </c>
      <c r="AJ48" s="360">
        <f>AJ39+AJ40+AJ41+AJ42+AJ43+AJ44+AJ45+AJ46+AJ47</f>
        <v>1382.8423036716965</v>
      </c>
      <c r="AK48" s="360">
        <v>1240.0440964861091</v>
      </c>
      <c r="AL48" s="360">
        <f>AL39+AL40+AL41+AL42+AL43+AL44+AL45+AL46+AL47</f>
        <v>1166.8773624522619</v>
      </c>
      <c r="AM48" s="360">
        <f>AM39+AM40+AM41+AM42+AM43+AM44+AM45+AM46+AM47</f>
        <v>1093.7106284184142</v>
      </c>
      <c r="AN48" s="360">
        <v>1020.5438943845668</v>
      </c>
      <c r="AO48" s="360">
        <f>AO39+AO40+AO41+AO42+AO43+AO44+AO45+AO46+AO47</f>
        <v>993.32300200819543</v>
      </c>
      <c r="AP48" s="360">
        <v>966.10210963182396</v>
      </c>
    </row>
    <row r="49" spans="1:42" ht="15">
      <c r="A49" s="103"/>
      <c r="B49" s="96"/>
      <c r="C49" s="96"/>
      <c r="D49" s="96"/>
      <c r="E49" s="96"/>
      <c r="F49" s="96"/>
      <c r="G49" s="96"/>
      <c r="H49" s="96"/>
      <c r="I49" s="96"/>
      <c r="J49" s="96"/>
      <c r="K49" s="70"/>
      <c r="L49" s="70"/>
      <c r="M49" s="70"/>
      <c r="N49" s="70"/>
      <c r="O49" s="70"/>
      <c r="P49" s="70"/>
      <c r="Q49" s="70"/>
      <c r="R49" s="70"/>
      <c r="S49" s="70"/>
      <c r="T49" s="70"/>
      <c r="U49" s="70"/>
      <c r="V49" s="70"/>
      <c r="W49" s="70"/>
      <c r="X49" s="70"/>
      <c r="Y49" s="70"/>
      <c r="Z49" s="70"/>
      <c r="AA49" s="70"/>
      <c r="AB49" s="70"/>
      <c r="AC49" s="70"/>
      <c r="AD49" s="70"/>
      <c r="AE49" s="70"/>
      <c r="AF49" s="70"/>
      <c r="AG49" s="70"/>
      <c r="AH49" s="70"/>
    </row>
    <row r="50" spans="1:42">
      <c r="A50" s="104" t="s">
        <v>398</v>
      </c>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428" t="s">
        <v>393</v>
      </c>
      <c r="AJ50" s="428"/>
      <c r="AK50" s="428"/>
      <c r="AL50" s="428"/>
      <c r="AM50" s="428"/>
      <c r="AN50" s="428"/>
      <c r="AO50" s="428"/>
      <c r="AP50" s="428"/>
    </row>
    <row r="51" spans="1:42" ht="105.6">
      <c r="A51" s="75" t="s">
        <v>481</v>
      </c>
      <c r="B51" s="76">
        <v>1990</v>
      </c>
      <c r="C51" s="76">
        <v>1991</v>
      </c>
      <c r="D51" s="76">
        <v>1992</v>
      </c>
      <c r="E51" s="76">
        <v>1993</v>
      </c>
      <c r="F51" s="76">
        <v>1994</v>
      </c>
      <c r="G51" s="76">
        <v>1995</v>
      </c>
      <c r="H51" s="76">
        <v>1996</v>
      </c>
      <c r="I51" s="76">
        <v>1997</v>
      </c>
      <c r="J51" s="76">
        <v>1998</v>
      </c>
      <c r="K51" s="76">
        <v>1999</v>
      </c>
      <c r="L51" s="76">
        <v>2000</v>
      </c>
      <c r="M51" s="76">
        <v>2001</v>
      </c>
      <c r="N51" s="76">
        <v>2002</v>
      </c>
      <c r="O51" s="76">
        <v>2003</v>
      </c>
      <c r="P51" s="76">
        <v>2004</v>
      </c>
      <c r="Q51" s="76">
        <v>2005</v>
      </c>
      <c r="R51" s="76">
        <v>2006</v>
      </c>
      <c r="S51" s="76">
        <v>2007</v>
      </c>
      <c r="T51" s="76">
        <v>2008</v>
      </c>
      <c r="U51" s="76">
        <v>2009</v>
      </c>
      <c r="V51" s="76">
        <v>2010</v>
      </c>
      <c r="W51" s="76">
        <v>2011</v>
      </c>
      <c r="X51" s="76">
        <v>2012</v>
      </c>
      <c r="Y51" s="76">
        <v>2013</v>
      </c>
      <c r="Z51" s="76">
        <v>2014</v>
      </c>
      <c r="AA51" s="76">
        <v>2015</v>
      </c>
      <c r="AB51" s="76">
        <v>2016</v>
      </c>
      <c r="AC51" s="76">
        <v>2017</v>
      </c>
      <c r="AD51" s="76">
        <v>2018</v>
      </c>
      <c r="AE51" s="76">
        <v>2019</v>
      </c>
      <c r="AF51" s="76">
        <v>2020</v>
      </c>
      <c r="AG51" s="77">
        <v>2021</v>
      </c>
      <c r="AH51" s="77" t="s">
        <v>395</v>
      </c>
      <c r="AI51" s="76">
        <v>2023</v>
      </c>
      <c r="AJ51" s="152">
        <v>2024</v>
      </c>
      <c r="AK51" s="76">
        <v>2025</v>
      </c>
      <c r="AL51" s="152">
        <v>2026</v>
      </c>
      <c r="AM51" s="152">
        <v>2027</v>
      </c>
      <c r="AN51" s="76">
        <v>2028</v>
      </c>
      <c r="AO51" s="152">
        <v>2029</v>
      </c>
      <c r="AP51" s="76">
        <v>2030</v>
      </c>
    </row>
    <row r="52" spans="1:42" ht="24">
      <c r="A52" s="100" t="s">
        <v>83</v>
      </c>
      <c r="B52" s="92">
        <v>0</v>
      </c>
      <c r="C52" s="92">
        <v>0</v>
      </c>
      <c r="D52" s="92">
        <v>0</v>
      </c>
      <c r="E52" s="92">
        <v>0</v>
      </c>
      <c r="F52" s="92">
        <v>0</v>
      </c>
      <c r="G52" s="92">
        <v>0</v>
      </c>
      <c r="H52" s="92">
        <v>0</v>
      </c>
      <c r="I52" s="92">
        <v>0</v>
      </c>
      <c r="J52" s="92">
        <v>0</v>
      </c>
      <c r="K52" s="92">
        <v>0</v>
      </c>
      <c r="L52" s="92">
        <v>0</v>
      </c>
      <c r="M52" s="92">
        <v>0</v>
      </c>
      <c r="N52" s="92">
        <v>0</v>
      </c>
      <c r="O52" s="92">
        <v>0</v>
      </c>
      <c r="P52" s="92">
        <v>0</v>
      </c>
      <c r="Q52" s="92">
        <v>0</v>
      </c>
      <c r="R52" s="92">
        <v>0</v>
      </c>
      <c r="S52" s="92">
        <v>0</v>
      </c>
      <c r="T52" s="92">
        <v>0</v>
      </c>
      <c r="U52" s="92">
        <v>0</v>
      </c>
      <c r="V52" s="92">
        <v>0</v>
      </c>
      <c r="W52" s="92">
        <v>0</v>
      </c>
      <c r="X52" s="92">
        <v>0</v>
      </c>
      <c r="Y52" s="92">
        <v>0</v>
      </c>
      <c r="Z52" s="92">
        <v>0</v>
      </c>
      <c r="AA52" s="92">
        <v>0</v>
      </c>
      <c r="AB52" s="92">
        <v>0</v>
      </c>
      <c r="AC52" s="92">
        <v>0</v>
      </c>
      <c r="AD52" s="92">
        <v>0</v>
      </c>
      <c r="AE52" s="92">
        <v>0</v>
      </c>
      <c r="AF52" s="92">
        <v>0</v>
      </c>
      <c r="AG52" s="92">
        <v>0</v>
      </c>
      <c r="AH52" s="92">
        <v>0</v>
      </c>
      <c r="AI52" s="338">
        <v>2.222537195642019E-6</v>
      </c>
      <c r="AJ52" s="338">
        <v>2.222537195642019E-6</v>
      </c>
      <c r="AK52" s="338">
        <v>2.222537195642019E-6</v>
      </c>
      <c r="AL52" s="338">
        <v>2.222537195642019E-6</v>
      </c>
      <c r="AM52" s="338">
        <v>2.222537195642019E-6</v>
      </c>
      <c r="AN52" s="338">
        <v>2.222537195642019E-6</v>
      </c>
      <c r="AO52" s="338">
        <v>2.222537195642019E-6</v>
      </c>
      <c r="AP52" s="338">
        <v>2.222537195642019E-6</v>
      </c>
    </row>
    <row r="53" spans="1:42" ht="48">
      <c r="A53" s="100" t="s">
        <v>84</v>
      </c>
      <c r="B53" s="92">
        <v>0</v>
      </c>
      <c r="C53" s="92">
        <v>0</v>
      </c>
      <c r="D53" s="92">
        <v>0</v>
      </c>
      <c r="E53" s="92">
        <v>0</v>
      </c>
      <c r="F53" s="92">
        <v>0</v>
      </c>
      <c r="G53" s="92">
        <v>0</v>
      </c>
      <c r="H53" s="92">
        <v>0</v>
      </c>
      <c r="I53" s="92">
        <v>0</v>
      </c>
      <c r="J53" s="92">
        <v>0</v>
      </c>
      <c r="K53" s="92">
        <v>0</v>
      </c>
      <c r="L53" s="92">
        <v>0</v>
      </c>
      <c r="M53" s="92">
        <v>0</v>
      </c>
      <c r="N53" s="92">
        <v>0</v>
      </c>
      <c r="O53" s="92">
        <v>0</v>
      </c>
      <c r="P53" s="92">
        <v>0</v>
      </c>
      <c r="Q53" s="92">
        <v>0</v>
      </c>
      <c r="R53" s="92">
        <v>0</v>
      </c>
      <c r="S53" s="92">
        <v>0</v>
      </c>
      <c r="T53" s="92">
        <v>0</v>
      </c>
      <c r="U53" s="92">
        <v>0</v>
      </c>
      <c r="V53" s="92">
        <v>0</v>
      </c>
      <c r="W53" s="92">
        <v>0</v>
      </c>
      <c r="X53" s="92">
        <v>0</v>
      </c>
      <c r="Y53" s="92">
        <v>0</v>
      </c>
      <c r="Z53" s="92">
        <v>0</v>
      </c>
      <c r="AA53" s="92">
        <v>0</v>
      </c>
      <c r="AB53" s="92">
        <v>0</v>
      </c>
      <c r="AC53" s="92">
        <v>0</v>
      </c>
      <c r="AD53" s="92">
        <v>0</v>
      </c>
      <c r="AE53" s="92">
        <v>0</v>
      </c>
      <c r="AF53" s="92">
        <v>0</v>
      </c>
      <c r="AG53" s="92">
        <v>0</v>
      </c>
      <c r="AH53" s="92">
        <v>0</v>
      </c>
      <c r="AI53" s="338">
        <v>0</v>
      </c>
      <c r="AJ53" s="338">
        <v>0</v>
      </c>
      <c r="AK53" s="338">
        <v>0</v>
      </c>
      <c r="AL53" s="338">
        <v>0</v>
      </c>
      <c r="AM53" s="338">
        <v>0</v>
      </c>
      <c r="AN53" s="338">
        <v>0</v>
      </c>
      <c r="AO53" s="338">
        <v>0</v>
      </c>
      <c r="AP53" s="338">
        <v>0</v>
      </c>
    </row>
    <row r="54" spans="1:42" ht="36">
      <c r="A54" s="100" t="s">
        <v>85</v>
      </c>
      <c r="B54" s="92">
        <v>0</v>
      </c>
      <c r="C54" s="92">
        <v>0</v>
      </c>
      <c r="D54" s="92">
        <v>0</v>
      </c>
      <c r="E54" s="92">
        <v>0</v>
      </c>
      <c r="F54" s="92">
        <v>0</v>
      </c>
      <c r="G54" s="92">
        <v>0</v>
      </c>
      <c r="H54" s="92">
        <v>0</v>
      </c>
      <c r="I54" s="92">
        <v>0</v>
      </c>
      <c r="J54" s="92">
        <v>0</v>
      </c>
      <c r="K54" s="92">
        <v>0</v>
      </c>
      <c r="L54" s="92">
        <v>0</v>
      </c>
      <c r="M54" s="92">
        <v>0</v>
      </c>
      <c r="N54" s="92">
        <v>0</v>
      </c>
      <c r="O54" s="92">
        <v>0</v>
      </c>
      <c r="P54" s="92">
        <v>0</v>
      </c>
      <c r="Q54" s="92">
        <v>0</v>
      </c>
      <c r="R54" s="92">
        <v>0</v>
      </c>
      <c r="S54" s="92">
        <v>0</v>
      </c>
      <c r="T54" s="92">
        <v>0</v>
      </c>
      <c r="U54" s="92">
        <v>0</v>
      </c>
      <c r="V54" s="92">
        <v>0</v>
      </c>
      <c r="W54" s="92">
        <v>0</v>
      </c>
      <c r="X54" s="92">
        <v>0</v>
      </c>
      <c r="Y54" s="92">
        <v>0</v>
      </c>
      <c r="Z54" s="92">
        <v>0</v>
      </c>
      <c r="AA54" s="92">
        <v>0</v>
      </c>
      <c r="AB54" s="92">
        <v>0</v>
      </c>
      <c r="AC54" s="92">
        <v>0</v>
      </c>
      <c r="AD54" s="92">
        <v>0</v>
      </c>
      <c r="AE54" s="92">
        <v>0</v>
      </c>
      <c r="AF54" s="92">
        <v>0</v>
      </c>
      <c r="AG54" s="92">
        <v>0</v>
      </c>
      <c r="AH54" s="92">
        <v>0</v>
      </c>
      <c r="AI54" s="338">
        <v>0</v>
      </c>
      <c r="AJ54" s="338">
        <v>0</v>
      </c>
      <c r="AK54" s="338">
        <v>0</v>
      </c>
      <c r="AL54" s="338">
        <v>0</v>
      </c>
      <c r="AM54" s="338">
        <v>0</v>
      </c>
      <c r="AN54" s="338">
        <v>0</v>
      </c>
      <c r="AO54" s="338">
        <v>0</v>
      </c>
      <c r="AP54" s="338">
        <v>0</v>
      </c>
    </row>
    <row r="55" spans="1:42" ht="24">
      <c r="A55" s="100" t="s">
        <v>86</v>
      </c>
      <c r="B55" s="92">
        <v>0</v>
      </c>
      <c r="C55" s="92">
        <v>0</v>
      </c>
      <c r="D55" s="92">
        <v>0</v>
      </c>
      <c r="E55" s="92">
        <v>0</v>
      </c>
      <c r="F55" s="92">
        <v>0</v>
      </c>
      <c r="G55" s="92">
        <v>0</v>
      </c>
      <c r="H55" s="92">
        <v>0</v>
      </c>
      <c r="I55" s="92">
        <v>0</v>
      </c>
      <c r="J55" s="92">
        <v>0</v>
      </c>
      <c r="K55" s="92">
        <v>0</v>
      </c>
      <c r="L55" s="92">
        <v>0</v>
      </c>
      <c r="M55" s="92">
        <v>0</v>
      </c>
      <c r="N55" s="92">
        <v>0</v>
      </c>
      <c r="O55" s="92">
        <v>0</v>
      </c>
      <c r="P55" s="92">
        <v>0</v>
      </c>
      <c r="Q55" s="92">
        <v>0</v>
      </c>
      <c r="R55" s="92">
        <v>0</v>
      </c>
      <c r="S55" s="92">
        <v>0</v>
      </c>
      <c r="T55" s="92">
        <v>0</v>
      </c>
      <c r="U55" s="92">
        <v>0</v>
      </c>
      <c r="V55" s="92">
        <v>0</v>
      </c>
      <c r="W55" s="92">
        <v>0</v>
      </c>
      <c r="X55" s="92">
        <v>0</v>
      </c>
      <c r="Y55" s="92">
        <v>0</v>
      </c>
      <c r="Z55" s="92">
        <v>0</v>
      </c>
      <c r="AA55" s="92">
        <v>0</v>
      </c>
      <c r="AB55" s="92">
        <v>0</v>
      </c>
      <c r="AC55" s="92">
        <v>0</v>
      </c>
      <c r="AD55" s="92">
        <v>0</v>
      </c>
      <c r="AE55" s="92">
        <v>0</v>
      </c>
      <c r="AF55" s="92">
        <v>0</v>
      </c>
      <c r="AG55" s="92">
        <v>0</v>
      </c>
      <c r="AH55" s="92">
        <v>0</v>
      </c>
      <c r="AI55" s="338">
        <v>0</v>
      </c>
      <c r="AJ55" s="338">
        <v>0</v>
      </c>
      <c r="AK55" s="338">
        <v>0</v>
      </c>
      <c r="AL55" s="338">
        <v>0</v>
      </c>
      <c r="AM55" s="338">
        <v>0</v>
      </c>
      <c r="AN55" s="338">
        <v>0</v>
      </c>
      <c r="AO55" s="338">
        <v>0</v>
      </c>
      <c r="AP55" s="338">
        <v>0</v>
      </c>
    </row>
    <row r="56" spans="1:42">
      <c r="A56" s="106" t="s">
        <v>418</v>
      </c>
      <c r="B56" s="107">
        <v>0</v>
      </c>
      <c r="C56" s="107">
        <v>0</v>
      </c>
      <c r="D56" s="107">
        <v>0</v>
      </c>
      <c r="E56" s="107">
        <v>0</v>
      </c>
      <c r="F56" s="107">
        <v>0</v>
      </c>
      <c r="G56" s="107">
        <v>0</v>
      </c>
      <c r="H56" s="107">
        <v>0</v>
      </c>
      <c r="I56" s="107">
        <v>0</v>
      </c>
      <c r="J56" s="107">
        <v>0</v>
      </c>
      <c r="K56" s="107">
        <v>0</v>
      </c>
      <c r="L56" s="107">
        <v>0</v>
      </c>
      <c r="M56" s="107">
        <v>0</v>
      </c>
      <c r="N56" s="107">
        <v>0</v>
      </c>
      <c r="O56" s="107">
        <v>0</v>
      </c>
      <c r="P56" s="107">
        <v>0</v>
      </c>
      <c r="Q56" s="107">
        <v>0</v>
      </c>
      <c r="R56" s="107">
        <v>0</v>
      </c>
      <c r="S56" s="107">
        <v>0</v>
      </c>
      <c r="T56" s="107">
        <v>0</v>
      </c>
      <c r="U56" s="107">
        <v>0</v>
      </c>
      <c r="V56" s="107">
        <v>0</v>
      </c>
      <c r="W56" s="107">
        <v>0</v>
      </c>
      <c r="X56" s="107">
        <v>0</v>
      </c>
      <c r="Y56" s="107">
        <v>0</v>
      </c>
      <c r="Z56" s="107">
        <v>0</v>
      </c>
      <c r="AA56" s="107">
        <v>0</v>
      </c>
      <c r="AB56" s="107">
        <v>0</v>
      </c>
      <c r="AC56" s="107">
        <v>0</v>
      </c>
      <c r="AD56" s="107">
        <v>0</v>
      </c>
      <c r="AE56" s="107">
        <v>0</v>
      </c>
      <c r="AF56" s="107">
        <v>0</v>
      </c>
      <c r="AG56" s="107">
        <v>0</v>
      </c>
      <c r="AH56" s="107">
        <v>0</v>
      </c>
      <c r="AI56" s="357">
        <v>0</v>
      </c>
      <c r="AJ56" s="357">
        <v>0</v>
      </c>
      <c r="AK56" s="357">
        <v>0</v>
      </c>
      <c r="AL56" s="357">
        <v>0</v>
      </c>
      <c r="AM56" s="357">
        <v>0</v>
      </c>
      <c r="AN56" s="357">
        <v>0</v>
      </c>
      <c r="AO56" s="357">
        <v>0</v>
      </c>
      <c r="AP56" s="357">
        <v>0</v>
      </c>
    </row>
    <row r="57" spans="1:42" ht="15">
      <c r="A57" s="95"/>
      <c r="B57" s="96"/>
      <c r="C57" s="96"/>
      <c r="D57" s="96"/>
      <c r="E57" s="96"/>
      <c r="F57" s="96"/>
      <c r="G57" s="96"/>
      <c r="H57" s="96"/>
      <c r="I57" s="96"/>
      <c r="J57" s="96"/>
      <c r="K57" s="70"/>
      <c r="L57" s="70"/>
      <c r="M57" s="70"/>
      <c r="N57" s="70"/>
      <c r="O57" s="70"/>
      <c r="P57" s="70"/>
      <c r="Q57" s="70"/>
      <c r="R57" s="70"/>
      <c r="S57" s="70"/>
      <c r="T57" s="70"/>
      <c r="U57" s="70"/>
      <c r="V57" s="70"/>
      <c r="W57" s="70"/>
      <c r="X57" s="70"/>
      <c r="Y57" s="70"/>
      <c r="Z57" s="70"/>
      <c r="AA57" s="70"/>
      <c r="AB57" s="70"/>
      <c r="AC57" s="70"/>
      <c r="AD57" s="70"/>
      <c r="AE57" s="70"/>
      <c r="AF57" s="70"/>
      <c r="AG57" s="70"/>
      <c r="AH57" s="70"/>
    </row>
    <row r="58" spans="1:42">
      <c r="A58" s="108" t="s">
        <v>399</v>
      </c>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429" t="s">
        <v>393</v>
      </c>
      <c r="AJ58" s="429"/>
      <c r="AK58" s="429"/>
      <c r="AL58" s="429"/>
      <c r="AM58" s="429"/>
      <c r="AN58" s="429"/>
      <c r="AO58" s="429"/>
      <c r="AP58" s="429"/>
    </row>
    <row r="59" spans="1:42" ht="105.6">
      <c r="A59" s="75" t="s">
        <v>481</v>
      </c>
      <c r="B59" s="76">
        <v>1990</v>
      </c>
      <c r="C59" s="76">
        <v>1991</v>
      </c>
      <c r="D59" s="76">
        <v>1992</v>
      </c>
      <c r="E59" s="76">
        <v>1993</v>
      </c>
      <c r="F59" s="76">
        <v>1994</v>
      </c>
      <c r="G59" s="76">
        <v>1995</v>
      </c>
      <c r="H59" s="76">
        <v>1996</v>
      </c>
      <c r="I59" s="76">
        <v>1997</v>
      </c>
      <c r="J59" s="76">
        <v>1998</v>
      </c>
      <c r="K59" s="76">
        <v>1999</v>
      </c>
      <c r="L59" s="76">
        <v>2000</v>
      </c>
      <c r="M59" s="76">
        <v>2001</v>
      </c>
      <c r="N59" s="76">
        <v>2002</v>
      </c>
      <c r="O59" s="76">
        <v>2003</v>
      </c>
      <c r="P59" s="76">
        <v>2004</v>
      </c>
      <c r="Q59" s="76">
        <v>2005</v>
      </c>
      <c r="R59" s="76">
        <v>2006</v>
      </c>
      <c r="S59" s="76">
        <v>2007</v>
      </c>
      <c r="T59" s="76">
        <v>2008</v>
      </c>
      <c r="U59" s="76">
        <v>2009</v>
      </c>
      <c r="V59" s="76">
        <v>2010</v>
      </c>
      <c r="W59" s="76">
        <v>2011</v>
      </c>
      <c r="X59" s="76">
        <v>2012</v>
      </c>
      <c r="Y59" s="76">
        <v>2013</v>
      </c>
      <c r="Z59" s="76">
        <v>2014</v>
      </c>
      <c r="AA59" s="76">
        <v>2015</v>
      </c>
      <c r="AB59" s="76">
        <v>2016</v>
      </c>
      <c r="AC59" s="76">
        <v>2017</v>
      </c>
      <c r="AD59" s="76">
        <v>2018</v>
      </c>
      <c r="AE59" s="76">
        <v>2019</v>
      </c>
      <c r="AF59" s="76">
        <v>2020</v>
      </c>
      <c r="AG59" s="77">
        <v>2021</v>
      </c>
      <c r="AH59" s="77" t="s">
        <v>395</v>
      </c>
      <c r="AI59" s="76">
        <v>2023</v>
      </c>
      <c r="AJ59" s="152">
        <v>2024</v>
      </c>
      <c r="AK59" s="76">
        <v>2025</v>
      </c>
      <c r="AL59" s="152">
        <v>2026</v>
      </c>
      <c r="AM59" s="152">
        <v>2027</v>
      </c>
      <c r="AN59" s="76">
        <v>2028</v>
      </c>
      <c r="AO59" s="152">
        <v>2029</v>
      </c>
      <c r="AP59" s="76">
        <v>2030</v>
      </c>
    </row>
    <row r="60" spans="1:42" ht="60">
      <c r="A60" s="91" t="s">
        <v>214</v>
      </c>
      <c r="B60" s="92">
        <v>0</v>
      </c>
      <c r="C60" s="92">
        <v>0</v>
      </c>
      <c r="D60" s="92">
        <v>0</v>
      </c>
      <c r="E60" s="92">
        <v>0</v>
      </c>
      <c r="F60" s="92">
        <v>0</v>
      </c>
      <c r="G60" s="92">
        <v>0</v>
      </c>
      <c r="H60" s="92">
        <v>0</v>
      </c>
      <c r="I60" s="92">
        <v>0</v>
      </c>
      <c r="J60" s="92">
        <v>0</v>
      </c>
      <c r="K60" s="92">
        <v>0</v>
      </c>
      <c r="L60" s="92">
        <v>0</v>
      </c>
      <c r="M60" s="92">
        <v>0</v>
      </c>
      <c r="N60" s="92">
        <v>0</v>
      </c>
      <c r="O60" s="92">
        <v>0</v>
      </c>
      <c r="P60" s="92">
        <v>0</v>
      </c>
      <c r="Q60" s="92">
        <v>0</v>
      </c>
      <c r="R60" s="92">
        <v>0</v>
      </c>
      <c r="S60" s="92">
        <v>0</v>
      </c>
      <c r="T60" s="92">
        <v>0</v>
      </c>
      <c r="U60" s="92">
        <v>0</v>
      </c>
      <c r="V60" s="92">
        <v>0</v>
      </c>
      <c r="W60" s="92">
        <v>0</v>
      </c>
      <c r="X60" s="92">
        <v>0</v>
      </c>
      <c r="Y60" s="92">
        <v>0</v>
      </c>
      <c r="Z60" s="92">
        <v>0</v>
      </c>
      <c r="AA60" s="92">
        <v>0</v>
      </c>
      <c r="AB60" s="92">
        <v>0</v>
      </c>
      <c r="AC60" s="92">
        <v>0</v>
      </c>
      <c r="AD60" s="92">
        <v>0</v>
      </c>
      <c r="AE60" s="92">
        <v>0</v>
      </c>
      <c r="AF60" s="92">
        <v>0</v>
      </c>
      <c r="AG60" s="92">
        <v>0</v>
      </c>
      <c r="AH60" s="92">
        <v>0</v>
      </c>
      <c r="AI60" s="338">
        <v>0</v>
      </c>
      <c r="AJ60" s="338">
        <f>AI60+(AK60-AI60)/2</f>
        <v>0</v>
      </c>
      <c r="AK60" s="338">
        <v>0</v>
      </c>
      <c r="AL60" s="338">
        <f>AK60+(AN60-AK60)/3</f>
        <v>0</v>
      </c>
      <c r="AM60" s="338">
        <f>AK60+(AN60-AK60)*2/3</f>
        <v>0</v>
      </c>
      <c r="AN60" s="338">
        <v>0</v>
      </c>
      <c r="AO60" s="338">
        <f>AN60+(AP60-AN60)/2</f>
        <v>0</v>
      </c>
      <c r="AP60" s="338">
        <v>0</v>
      </c>
    </row>
    <row r="61" spans="1:42" ht="24">
      <c r="A61" s="91" t="s">
        <v>215</v>
      </c>
      <c r="B61" s="92">
        <v>0</v>
      </c>
      <c r="C61" s="92">
        <v>0</v>
      </c>
      <c r="D61" s="92">
        <v>0</v>
      </c>
      <c r="E61" s="92">
        <v>0</v>
      </c>
      <c r="F61" s="92">
        <v>0</v>
      </c>
      <c r="G61" s="92">
        <v>0</v>
      </c>
      <c r="H61" s="92">
        <v>0</v>
      </c>
      <c r="I61" s="92">
        <v>0</v>
      </c>
      <c r="J61" s="92">
        <v>0</v>
      </c>
      <c r="K61" s="92">
        <v>0</v>
      </c>
      <c r="L61" s="92">
        <v>0.57998461821723024</v>
      </c>
      <c r="M61" s="92">
        <v>2.2605061052149527</v>
      </c>
      <c r="N61" s="92">
        <v>5.2113663100405443</v>
      </c>
      <c r="O61" s="92">
        <v>44.627608971739129</v>
      </c>
      <c r="P61" s="92">
        <v>108.0014881454827</v>
      </c>
      <c r="Q61" s="92">
        <v>155.58341181549164</v>
      </c>
      <c r="R61" s="92">
        <v>222.79522768897283</v>
      </c>
      <c r="S61" s="92">
        <v>290.92341923864825</v>
      </c>
      <c r="T61" s="92">
        <v>356.26879179241098</v>
      </c>
      <c r="U61" s="92">
        <v>422.06835863486521</v>
      </c>
      <c r="V61" s="92">
        <v>472.34351037395408</v>
      </c>
      <c r="W61" s="92">
        <v>530.5465587859228</v>
      </c>
      <c r="X61" s="92">
        <v>587.47766490301706</v>
      </c>
      <c r="Y61" s="92">
        <v>675.42388928175467</v>
      </c>
      <c r="Z61" s="92">
        <v>780.07697516856138</v>
      </c>
      <c r="AA61" s="92">
        <v>867.43578167983367</v>
      </c>
      <c r="AB61" s="92">
        <v>951.05332553417315</v>
      </c>
      <c r="AC61" s="92">
        <v>1019.6089953668483</v>
      </c>
      <c r="AD61" s="92">
        <v>1093.8918363073954</v>
      </c>
      <c r="AE61" s="92">
        <v>1125.1115848828006</v>
      </c>
      <c r="AF61" s="92">
        <v>1115.6431108079023</v>
      </c>
      <c r="AG61" s="92">
        <v>1097.2006867247521</v>
      </c>
      <c r="AH61" s="92">
        <v>1009.3399897315448</v>
      </c>
      <c r="AI61" s="338">
        <v>1041.5221823892689</v>
      </c>
      <c r="AJ61" s="338">
        <f t="shared" ref="AJ61:AJ66" si="10">AI61+(AK61-AI61)/2</f>
        <v>1034.6422493971343</v>
      </c>
      <c r="AK61" s="338">
        <v>1027.7623164049996</v>
      </c>
      <c r="AL61" s="338">
        <f t="shared" ref="AL61:AL72" si="11">AK61+(AN61-AK61)/3</f>
        <v>1001.8810205286505</v>
      </c>
      <c r="AM61" s="338">
        <f t="shared" ref="AM61:AM72" si="12">AK61+(AN61-AK61)*2/3</f>
        <v>975.99972465230155</v>
      </c>
      <c r="AN61" s="338">
        <v>950.11842877595245</v>
      </c>
      <c r="AO61" s="338">
        <f t="shared" ref="AO61:AO66" si="13">AN61+(AP61-AN61)/2</f>
        <v>926.77810009951293</v>
      </c>
      <c r="AP61" s="338">
        <v>903.4377714230734</v>
      </c>
    </row>
    <row r="62" spans="1:42" ht="24">
      <c r="A62" s="91" t="s">
        <v>419</v>
      </c>
      <c r="B62" s="92">
        <v>0</v>
      </c>
      <c r="C62" s="92">
        <v>0</v>
      </c>
      <c r="D62" s="92">
        <v>0</v>
      </c>
      <c r="E62" s="92">
        <v>0</v>
      </c>
      <c r="F62" s="92">
        <v>2.2360497816345758E-2</v>
      </c>
      <c r="G62" s="92">
        <v>6.3092851391348709E-2</v>
      </c>
      <c r="H62" s="92">
        <v>9.8783892377133531E-2</v>
      </c>
      <c r="I62" s="92">
        <v>0.13475384919718375</v>
      </c>
      <c r="J62" s="92">
        <v>0.16889174473993357</v>
      </c>
      <c r="K62" s="92">
        <v>0.20091729992777277</v>
      </c>
      <c r="L62" s="92">
        <v>0.23144704869812469</v>
      </c>
      <c r="M62" s="92">
        <v>0.25849170342404187</v>
      </c>
      <c r="N62" s="92">
        <v>0.28104021746246949</v>
      </c>
      <c r="O62" s="92">
        <v>0.30346742008089994</v>
      </c>
      <c r="P62" s="92">
        <v>20.415381292500705</v>
      </c>
      <c r="Q62" s="92">
        <v>53.876457047376377</v>
      </c>
      <c r="R62" s="92">
        <v>72.76572290394455</v>
      </c>
      <c r="S62" s="92">
        <v>75.639766299614649</v>
      </c>
      <c r="T62" s="92">
        <v>91.332553743966415</v>
      </c>
      <c r="U62" s="92">
        <v>104.56507410519855</v>
      </c>
      <c r="V62" s="92">
        <v>150.6832824296919</v>
      </c>
      <c r="W62" s="92">
        <v>140.7104303687949</v>
      </c>
      <c r="X62" s="92">
        <v>157.91222327731853</v>
      </c>
      <c r="Y62" s="92">
        <v>152.25712019040859</v>
      </c>
      <c r="Z62" s="92">
        <v>159.82897046011621</v>
      </c>
      <c r="AA62" s="92">
        <v>137.82946112585896</v>
      </c>
      <c r="AB62" s="92">
        <v>139.88171617884257</v>
      </c>
      <c r="AC62" s="92">
        <v>92.717188454698032</v>
      </c>
      <c r="AD62" s="92">
        <v>91.433251218765577</v>
      </c>
      <c r="AE62" s="92">
        <v>84.8540547427707</v>
      </c>
      <c r="AF62" s="92">
        <v>73.513455469674298</v>
      </c>
      <c r="AG62" s="92">
        <v>67.274690097198501</v>
      </c>
      <c r="AH62" s="92">
        <v>60.857029951688915</v>
      </c>
      <c r="AI62" s="338">
        <v>44.284360022578404</v>
      </c>
      <c r="AJ62" s="338">
        <f t="shared" si="10"/>
        <v>42.744607171023929</v>
      </c>
      <c r="AK62" s="338">
        <v>41.204854319469462</v>
      </c>
      <c r="AL62" s="338">
        <f t="shared" si="11"/>
        <v>38.246905629477396</v>
      </c>
      <c r="AM62" s="338">
        <f t="shared" si="12"/>
        <v>35.288956939485338</v>
      </c>
      <c r="AN62" s="338">
        <v>32.331008249493273</v>
      </c>
      <c r="AO62" s="338">
        <f t="shared" si="13"/>
        <v>27.525318523361555</v>
      </c>
      <c r="AP62" s="338">
        <v>22.719628797229838</v>
      </c>
    </row>
    <row r="63" spans="1:42" ht="60">
      <c r="A63" s="91" t="s">
        <v>216</v>
      </c>
      <c r="B63" s="92">
        <v>115.86058371727269</v>
      </c>
      <c r="C63" s="92">
        <v>115.89329903573982</v>
      </c>
      <c r="D63" s="92">
        <v>115.93157034792426</v>
      </c>
      <c r="E63" s="92">
        <v>115.97391371593794</v>
      </c>
      <c r="F63" s="92">
        <v>150.18985550849976</v>
      </c>
      <c r="G63" s="92">
        <v>370.67940447373684</v>
      </c>
      <c r="H63" s="92">
        <v>736.94504754045204</v>
      </c>
      <c r="I63" s="92">
        <v>920.75345894027839</v>
      </c>
      <c r="J63" s="92">
        <v>913.0244429923481</v>
      </c>
      <c r="K63" s="92">
        <v>884.82170813758728</v>
      </c>
      <c r="L63" s="92">
        <v>1100.8522807501174</v>
      </c>
      <c r="M63" s="92">
        <v>1077.170011331259</v>
      </c>
      <c r="N63" s="92">
        <v>1107.9671174041973</v>
      </c>
      <c r="O63" s="92">
        <v>1217.9436764794314</v>
      </c>
      <c r="P63" s="92">
        <v>1322.1936335610335</v>
      </c>
      <c r="Q63" s="92">
        <v>1357.601878621753</v>
      </c>
      <c r="R63" s="92">
        <v>1379.4154251226805</v>
      </c>
      <c r="S63" s="92">
        <v>1392.2713052498668</v>
      </c>
      <c r="T63" s="92">
        <v>1402.7769327073131</v>
      </c>
      <c r="U63" s="92">
        <v>1029.3096543139379</v>
      </c>
      <c r="V63" s="92">
        <v>1076.1495488496548</v>
      </c>
      <c r="W63" s="92">
        <v>1121.4936764897614</v>
      </c>
      <c r="X63" s="92">
        <v>1057.4014995150862</v>
      </c>
      <c r="Y63" s="92">
        <v>1014.3796917731238</v>
      </c>
      <c r="Z63" s="92">
        <v>1027.9186658870767</v>
      </c>
      <c r="AA63" s="92">
        <v>1055.1858688298321</v>
      </c>
      <c r="AB63" s="92">
        <v>1071.6343770959297</v>
      </c>
      <c r="AC63" s="92">
        <v>1066.6550429890569</v>
      </c>
      <c r="AD63" s="92">
        <v>810.11713155035034</v>
      </c>
      <c r="AE63" s="92">
        <v>514.79596109153147</v>
      </c>
      <c r="AF63" s="92">
        <v>469.38776521458044</v>
      </c>
      <c r="AG63" s="92">
        <v>466.14224212127522</v>
      </c>
      <c r="AH63" s="92">
        <v>466.14224212127516</v>
      </c>
      <c r="AI63" s="338">
        <v>453.09950562255011</v>
      </c>
      <c r="AJ63" s="338">
        <f t="shared" si="10"/>
        <v>451.47744001983244</v>
      </c>
      <c r="AK63" s="338">
        <v>449.85537441711472</v>
      </c>
      <c r="AL63" s="338">
        <f t="shared" si="11"/>
        <v>448.36643799734577</v>
      </c>
      <c r="AM63" s="338">
        <f t="shared" si="12"/>
        <v>446.87750157757677</v>
      </c>
      <c r="AN63" s="338">
        <v>445.38856515780782</v>
      </c>
      <c r="AO63" s="338">
        <f t="shared" si="13"/>
        <v>439.1539973505478</v>
      </c>
      <c r="AP63" s="338">
        <v>432.91942954328783</v>
      </c>
    </row>
    <row r="64" spans="1:42" ht="36">
      <c r="A64" s="91" t="s">
        <v>420</v>
      </c>
      <c r="B64" s="92">
        <v>0</v>
      </c>
      <c r="C64" s="92">
        <v>0</v>
      </c>
      <c r="D64" s="92">
        <v>0</v>
      </c>
      <c r="E64" s="92">
        <v>0</v>
      </c>
      <c r="F64" s="92">
        <v>0</v>
      </c>
      <c r="G64" s="92">
        <v>0</v>
      </c>
      <c r="H64" s="92">
        <v>0</v>
      </c>
      <c r="I64" s="92">
        <v>0</v>
      </c>
      <c r="J64" s="92">
        <v>0</v>
      </c>
      <c r="K64" s="92">
        <v>0</v>
      </c>
      <c r="L64" s="92">
        <v>0</v>
      </c>
      <c r="M64" s="92">
        <v>0</v>
      </c>
      <c r="N64" s="92">
        <v>0</v>
      </c>
      <c r="O64" s="92">
        <v>0</v>
      </c>
      <c r="P64" s="92">
        <v>0</v>
      </c>
      <c r="Q64" s="92">
        <v>0</v>
      </c>
      <c r="R64" s="92">
        <v>0</v>
      </c>
      <c r="S64" s="92">
        <v>0</v>
      </c>
      <c r="T64" s="92">
        <v>0</v>
      </c>
      <c r="U64" s="92">
        <v>0</v>
      </c>
      <c r="V64" s="92">
        <v>0</v>
      </c>
      <c r="W64" s="92">
        <v>0</v>
      </c>
      <c r="X64" s="92">
        <v>0</v>
      </c>
      <c r="Y64" s="92">
        <v>0</v>
      </c>
      <c r="Z64" s="92">
        <v>0</v>
      </c>
      <c r="AA64" s="92">
        <v>0</v>
      </c>
      <c r="AB64" s="92">
        <v>0</v>
      </c>
      <c r="AC64" s="92">
        <v>0</v>
      </c>
      <c r="AD64" s="92">
        <v>0</v>
      </c>
      <c r="AE64" s="92">
        <v>0</v>
      </c>
      <c r="AF64" s="92">
        <v>0</v>
      </c>
      <c r="AG64" s="92">
        <v>0</v>
      </c>
      <c r="AH64" s="92">
        <v>0</v>
      </c>
      <c r="AI64" s="338">
        <v>0</v>
      </c>
      <c r="AJ64" s="338">
        <f t="shared" si="10"/>
        <v>0</v>
      </c>
      <c r="AK64" s="338">
        <v>0</v>
      </c>
      <c r="AL64" s="338">
        <f t="shared" si="11"/>
        <v>0</v>
      </c>
      <c r="AM64" s="338">
        <f t="shared" si="12"/>
        <v>0</v>
      </c>
      <c r="AN64" s="338">
        <v>0</v>
      </c>
      <c r="AO64" s="338">
        <f t="shared" si="13"/>
        <v>0</v>
      </c>
      <c r="AP64" s="338">
        <v>0</v>
      </c>
    </row>
    <row r="65" spans="1:42" ht="48">
      <c r="A65" s="91" t="s">
        <v>421</v>
      </c>
      <c r="B65" s="92">
        <v>0</v>
      </c>
      <c r="C65" s="92">
        <v>0</v>
      </c>
      <c r="D65" s="92">
        <v>0</v>
      </c>
      <c r="E65" s="92">
        <v>0</v>
      </c>
      <c r="F65" s="92">
        <v>0</v>
      </c>
      <c r="G65" s="92">
        <v>0</v>
      </c>
      <c r="H65" s="92">
        <v>0</v>
      </c>
      <c r="I65" s="92">
        <v>0</v>
      </c>
      <c r="J65" s="92">
        <v>0</v>
      </c>
      <c r="K65" s="92">
        <v>0</v>
      </c>
      <c r="L65" s="92">
        <v>0</v>
      </c>
      <c r="M65" s="92">
        <v>0</v>
      </c>
      <c r="N65" s="92">
        <v>0</v>
      </c>
      <c r="O65" s="92">
        <v>0</v>
      </c>
      <c r="P65" s="92">
        <v>0</v>
      </c>
      <c r="Q65" s="92">
        <v>0</v>
      </c>
      <c r="R65" s="92">
        <v>0</v>
      </c>
      <c r="S65" s="92">
        <v>0</v>
      </c>
      <c r="T65" s="92">
        <v>0</v>
      </c>
      <c r="U65" s="92">
        <v>0</v>
      </c>
      <c r="V65" s="92">
        <v>0</v>
      </c>
      <c r="W65" s="92">
        <v>0</v>
      </c>
      <c r="X65" s="92">
        <v>0</v>
      </c>
      <c r="Y65" s="92">
        <v>0</v>
      </c>
      <c r="Z65" s="92">
        <v>0</v>
      </c>
      <c r="AA65" s="92">
        <v>0</v>
      </c>
      <c r="AB65" s="92">
        <v>0</v>
      </c>
      <c r="AC65" s="92">
        <v>0</v>
      </c>
      <c r="AD65" s="92">
        <v>0</v>
      </c>
      <c r="AE65" s="92">
        <v>0</v>
      </c>
      <c r="AF65" s="92">
        <v>0</v>
      </c>
      <c r="AG65" s="92">
        <v>0</v>
      </c>
      <c r="AH65" s="92">
        <v>0</v>
      </c>
      <c r="AI65" s="338">
        <v>0</v>
      </c>
      <c r="AJ65" s="338">
        <f t="shared" si="10"/>
        <v>0</v>
      </c>
      <c r="AK65" s="338">
        <v>0</v>
      </c>
      <c r="AL65" s="338">
        <f t="shared" si="11"/>
        <v>0</v>
      </c>
      <c r="AM65" s="338">
        <f t="shared" si="12"/>
        <v>0</v>
      </c>
      <c r="AN65" s="338">
        <v>0</v>
      </c>
      <c r="AO65" s="338">
        <f t="shared" si="13"/>
        <v>0</v>
      </c>
      <c r="AP65" s="338">
        <v>0</v>
      </c>
    </row>
    <row r="66" spans="1:42" ht="48">
      <c r="A66" s="91" t="s">
        <v>422</v>
      </c>
      <c r="B66" s="92">
        <v>0</v>
      </c>
      <c r="C66" s="92">
        <v>0</v>
      </c>
      <c r="D66" s="92">
        <v>0</v>
      </c>
      <c r="E66" s="92">
        <v>0</v>
      </c>
      <c r="F66" s="92">
        <v>0</v>
      </c>
      <c r="G66" s="92">
        <v>0</v>
      </c>
      <c r="H66" s="92">
        <v>0</v>
      </c>
      <c r="I66" s="92">
        <v>0</v>
      </c>
      <c r="J66" s="92">
        <v>0</v>
      </c>
      <c r="K66" s="92">
        <v>0</v>
      </c>
      <c r="L66" s="92">
        <v>0</v>
      </c>
      <c r="M66" s="92">
        <v>0</v>
      </c>
      <c r="N66" s="92">
        <v>0</v>
      </c>
      <c r="O66" s="92">
        <v>0</v>
      </c>
      <c r="P66" s="92">
        <v>0</v>
      </c>
      <c r="Q66" s="92">
        <v>0</v>
      </c>
      <c r="R66" s="92">
        <v>0</v>
      </c>
      <c r="S66" s="92">
        <v>0</v>
      </c>
      <c r="T66" s="92">
        <v>0</v>
      </c>
      <c r="U66" s="92">
        <v>0</v>
      </c>
      <c r="V66" s="92">
        <v>0</v>
      </c>
      <c r="W66" s="92">
        <v>0</v>
      </c>
      <c r="X66" s="92">
        <v>0</v>
      </c>
      <c r="Y66" s="92">
        <v>0</v>
      </c>
      <c r="Z66" s="92">
        <v>0</v>
      </c>
      <c r="AA66" s="92">
        <v>0</v>
      </c>
      <c r="AB66" s="92">
        <v>0</v>
      </c>
      <c r="AC66" s="92">
        <v>0</v>
      </c>
      <c r="AD66" s="92">
        <v>0</v>
      </c>
      <c r="AE66" s="92">
        <v>0</v>
      </c>
      <c r="AF66" s="92">
        <v>0</v>
      </c>
      <c r="AG66" s="92">
        <v>0</v>
      </c>
      <c r="AH66" s="92">
        <v>0</v>
      </c>
      <c r="AI66" s="338">
        <v>0</v>
      </c>
      <c r="AJ66" s="338">
        <f t="shared" si="10"/>
        <v>0</v>
      </c>
      <c r="AK66" s="338">
        <v>0</v>
      </c>
      <c r="AL66" s="338">
        <f t="shared" si="11"/>
        <v>0</v>
      </c>
      <c r="AM66" s="338">
        <f t="shared" si="12"/>
        <v>0</v>
      </c>
      <c r="AN66" s="338">
        <v>0</v>
      </c>
      <c r="AO66" s="338">
        <f t="shared" si="13"/>
        <v>0</v>
      </c>
      <c r="AP66" s="338">
        <v>0</v>
      </c>
    </row>
    <row r="67" spans="1:42" ht="72">
      <c r="A67" s="110" t="s">
        <v>423</v>
      </c>
      <c r="B67" s="111">
        <v>115.86058371727269</v>
      </c>
      <c r="C67" s="111">
        <v>115.89329903573982</v>
      </c>
      <c r="D67" s="111">
        <v>115.93157034792426</v>
      </c>
      <c r="E67" s="111">
        <v>115.97391371593794</v>
      </c>
      <c r="F67" s="111">
        <v>150.21221600631611</v>
      </c>
      <c r="G67" s="111">
        <v>370.74249732512817</v>
      </c>
      <c r="H67" s="111">
        <v>737.04383143282917</v>
      </c>
      <c r="I67" s="111">
        <v>920.88821278947557</v>
      </c>
      <c r="J67" s="111">
        <v>913.19333473708798</v>
      </c>
      <c r="K67" s="111">
        <v>885.0226254375151</v>
      </c>
      <c r="L67" s="111">
        <v>1101.6637124170327</v>
      </c>
      <c r="M67" s="111">
        <v>1079.689009139898</v>
      </c>
      <c r="N67" s="111">
        <v>1113.4595239317002</v>
      </c>
      <c r="O67" s="111">
        <v>1262.8747528712513</v>
      </c>
      <c r="P67" s="111">
        <v>1450.6105029990169</v>
      </c>
      <c r="Q67" s="111">
        <v>1567.061747484621</v>
      </c>
      <c r="R67" s="111">
        <v>1674.9763757155979</v>
      </c>
      <c r="S67" s="111">
        <v>1758.8344907881296</v>
      </c>
      <c r="T67" s="111">
        <v>1850.3782782436906</v>
      </c>
      <c r="U67" s="111">
        <v>1555.9430870540018</v>
      </c>
      <c r="V67" s="111">
        <v>1699.1763416533008</v>
      </c>
      <c r="W67" s="111">
        <v>1792.7506656444791</v>
      </c>
      <c r="X67" s="111">
        <v>1802.7913876954217</v>
      </c>
      <c r="Y67" s="111">
        <v>1842.060701245287</v>
      </c>
      <c r="Z67" s="111">
        <v>1967.8246115157544</v>
      </c>
      <c r="AA67" s="111">
        <v>2060.4511116355247</v>
      </c>
      <c r="AB67" s="111">
        <v>2162.5694188089456</v>
      </c>
      <c r="AC67" s="111">
        <v>2178.9812268106034</v>
      </c>
      <c r="AD67" s="111">
        <v>1995.4422190765113</v>
      </c>
      <c r="AE67" s="111">
        <v>1724.7616007171027</v>
      </c>
      <c r="AF67" s="111">
        <v>1658.544331492157</v>
      </c>
      <c r="AG67" s="111">
        <v>1630.6176189432258</v>
      </c>
      <c r="AH67" s="111">
        <v>1536.3392618045089</v>
      </c>
      <c r="AI67" s="147">
        <v>1538.9060480343974</v>
      </c>
      <c r="AJ67" s="155">
        <f>SUM(AJ60:AJ66)</f>
        <v>1528.8642965879908</v>
      </c>
      <c r="AK67" s="155">
        <v>1518.8225451415838</v>
      </c>
      <c r="AL67" s="155">
        <f t="shared" ref="AL67:AO67" si="14">SUM(AL60:AL66)</f>
        <v>1488.4943641554737</v>
      </c>
      <c r="AM67" s="155">
        <f t="shared" si="14"/>
        <v>1458.1661831693636</v>
      </c>
      <c r="AN67" s="155">
        <v>1427.8380021832534</v>
      </c>
      <c r="AO67" s="155">
        <f t="shared" si="14"/>
        <v>1393.4574159734223</v>
      </c>
      <c r="AP67" s="155">
        <v>1359.0768297635909</v>
      </c>
    </row>
    <row r="68" spans="1:42" ht="48">
      <c r="A68" s="91" t="s">
        <v>219</v>
      </c>
      <c r="B68" s="92">
        <v>0</v>
      </c>
      <c r="C68" s="92">
        <v>0</v>
      </c>
      <c r="D68" s="92">
        <v>0</v>
      </c>
      <c r="E68" s="92">
        <v>0</v>
      </c>
      <c r="F68" s="92">
        <v>0</v>
      </c>
      <c r="G68" s="92">
        <v>0</v>
      </c>
      <c r="H68" s="92">
        <v>0</v>
      </c>
      <c r="I68" s="92">
        <v>0</v>
      </c>
      <c r="J68" s="92">
        <v>0</v>
      </c>
      <c r="K68" s="92">
        <v>0</v>
      </c>
      <c r="L68" s="92">
        <v>0</v>
      </c>
      <c r="M68" s="92">
        <v>0</v>
      </c>
      <c r="N68" s="92">
        <v>0</v>
      </c>
      <c r="O68" s="92">
        <v>0</v>
      </c>
      <c r="P68" s="92">
        <v>0</v>
      </c>
      <c r="Q68" s="92">
        <v>0</v>
      </c>
      <c r="R68" s="92">
        <v>0</v>
      </c>
      <c r="S68" s="92">
        <v>0</v>
      </c>
      <c r="T68" s="92">
        <v>0</v>
      </c>
      <c r="U68" s="92">
        <v>0</v>
      </c>
      <c r="V68" s="92">
        <v>0</v>
      </c>
      <c r="W68" s="92">
        <v>0</v>
      </c>
      <c r="X68" s="92">
        <v>0</v>
      </c>
      <c r="Y68" s="92">
        <v>0</v>
      </c>
      <c r="Z68" s="92">
        <v>0</v>
      </c>
      <c r="AA68" s="92">
        <v>0</v>
      </c>
      <c r="AB68" s="92">
        <v>0</v>
      </c>
      <c r="AC68" s="92">
        <v>0</v>
      </c>
      <c r="AD68" s="92">
        <v>0</v>
      </c>
      <c r="AE68" s="92">
        <v>0</v>
      </c>
      <c r="AF68" s="92">
        <v>0</v>
      </c>
      <c r="AG68" s="92">
        <v>0</v>
      </c>
      <c r="AH68" s="92">
        <v>0</v>
      </c>
      <c r="AI68" s="338">
        <v>0</v>
      </c>
      <c r="AJ68" s="338">
        <f>AI68+(AK68-AI68)/2</f>
        <v>0</v>
      </c>
      <c r="AK68" s="338">
        <v>0</v>
      </c>
      <c r="AL68" s="338">
        <f t="shared" si="11"/>
        <v>0</v>
      </c>
      <c r="AM68" s="338">
        <f t="shared" si="12"/>
        <v>0</v>
      </c>
      <c r="AN68" s="338">
        <v>0</v>
      </c>
      <c r="AO68" s="338">
        <f>AN68+(AP68-AN68)/2</f>
        <v>0</v>
      </c>
      <c r="AP68" s="338">
        <v>0</v>
      </c>
    </row>
    <row r="69" spans="1:42" ht="24">
      <c r="A69" s="91" t="s">
        <v>220</v>
      </c>
      <c r="B69" s="92">
        <v>0</v>
      </c>
      <c r="C69" s="92">
        <v>0</v>
      </c>
      <c r="D69" s="92">
        <v>0.20043158804594549</v>
      </c>
      <c r="E69" s="92">
        <v>1.0588746111101492</v>
      </c>
      <c r="F69" s="92">
        <v>2.9824422332424412</v>
      </c>
      <c r="G69" s="92">
        <v>5.2751960860161251</v>
      </c>
      <c r="H69" s="92">
        <v>8.8466387998479057</v>
      </c>
      <c r="I69" s="92">
        <v>13.507938943690682</v>
      </c>
      <c r="J69" s="92">
        <v>22.627502766909412</v>
      </c>
      <c r="K69" s="92">
        <v>35.938569670567595</v>
      </c>
      <c r="L69" s="92">
        <v>60.076379848664374</v>
      </c>
      <c r="M69" s="92">
        <v>95.614985506108127</v>
      </c>
      <c r="N69" s="92">
        <v>145.10912019329379</v>
      </c>
      <c r="O69" s="92">
        <v>205.40606490994725</v>
      </c>
      <c r="P69" s="92">
        <v>300.33175021679813</v>
      </c>
      <c r="Q69" s="92">
        <v>387.8832581385372</v>
      </c>
      <c r="R69" s="92">
        <v>510.29771677224898</v>
      </c>
      <c r="S69" s="92">
        <v>651.60728219667112</v>
      </c>
      <c r="T69" s="92">
        <v>763.8337294549674</v>
      </c>
      <c r="U69" s="92">
        <v>870.41608421704063</v>
      </c>
      <c r="V69" s="92">
        <v>952.96809270277242</v>
      </c>
      <c r="W69" s="92">
        <v>1012.2958890325021</v>
      </c>
      <c r="X69" s="92">
        <v>1068.3495961258541</v>
      </c>
      <c r="Y69" s="92">
        <v>1122.118974925367</v>
      </c>
      <c r="Z69" s="92">
        <v>1185.2349601119197</v>
      </c>
      <c r="AA69" s="92">
        <v>1246.4177409051238</v>
      </c>
      <c r="AB69" s="92">
        <v>1326.6986181847924</v>
      </c>
      <c r="AC69" s="92">
        <v>1389.0461038847166</v>
      </c>
      <c r="AD69" s="92">
        <v>1411.7217340166283</v>
      </c>
      <c r="AE69" s="92">
        <v>1399.1679823718898</v>
      </c>
      <c r="AF69" s="92">
        <v>1354.4790325422291</v>
      </c>
      <c r="AG69" s="92">
        <v>1296.6121684734417</v>
      </c>
      <c r="AH69" s="92">
        <v>824.82753844459171</v>
      </c>
      <c r="AI69" s="338">
        <v>613.40921597547674</v>
      </c>
      <c r="AJ69" s="338">
        <f t="shared" ref="AJ69:AJ72" si="15">AI69+(AK69-AI69)/2</f>
        <v>576.40619933234916</v>
      </c>
      <c r="AK69" s="338">
        <v>539.40318268922147</v>
      </c>
      <c r="AL69" s="338">
        <f t="shared" si="11"/>
        <v>518.02947199822086</v>
      </c>
      <c r="AM69" s="338">
        <f t="shared" si="12"/>
        <v>496.6557613072203</v>
      </c>
      <c r="AN69" s="338">
        <v>475.28205061621975</v>
      </c>
      <c r="AO69" s="338">
        <f t="shared" ref="AO69:AO72" si="16">AN69+(AP69-AN69)/2</f>
        <v>462.28811781116372</v>
      </c>
      <c r="AP69" s="338">
        <v>449.29418500610763</v>
      </c>
    </row>
    <row r="70" spans="1:42" ht="24">
      <c r="A70" s="91" t="s">
        <v>222</v>
      </c>
      <c r="B70" s="92">
        <v>0</v>
      </c>
      <c r="C70" s="92">
        <v>0</v>
      </c>
      <c r="D70" s="92">
        <v>0</v>
      </c>
      <c r="E70" s="92">
        <v>15.908679768535951</v>
      </c>
      <c r="F70" s="92">
        <v>46.39067989442043</v>
      </c>
      <c r="G70" s="92">
        <v>124.89619054851177</v>
      </c>
      <c r="H70" s="92">
        <v>226.18061099453448</v>
      </c>
      <c r="I70" s="92">
        <v>394.09122317879292</v>
      </c>
      <c r="J70" s="92">
        <v>624.76256429257762</v>
      </c>
      <c r="K70" s="92">
        <v>1026.7348843302452</v>
      </c>
      <c r="L70" s="92">
        <v>1512.2236718798342</v>
      </c>
      <c r="M70" s="92">
        <v>2078.7665660624143</v>
      </c>
      <c r="N70" s="92">
        <v>2631.3141914213052</v>
      </c>
      <c r="O70" s="92">
        <v>3176.7731564732435</v>
      </c>
      <c r="P70" s="92">
        <v>3720.0041638239009</v>
      </c>
      <c r="Q70" s="92">
        <v>4213.9690520727427</v>
      </c>
      <c r="R70" s="92">
        <v>4802.3324942050294</v>
      </c>
      <c r="S70" s="92">
        <v>5252.0035988073641</v>
      </c>
      <c r="T70" s="92">
        <v>5663.51822164654</v>
      </c>
      <c r="U70" s="92">
        <v>5992.420717047994</v>
      </c>
      <c r="V70" s="92">
        <v>6231.7340016021944</v>
      </c>
      <c r="W70" s="92">
        <v>6416.8105371518786</v>
      </c>
      <c r="X70" s="92">
        <v>6459.0335790821491</v>
      </c>
      <c r="Y70" s="92">
        <v>6369.8467931700907</v>
      </c>
      <c r="Z70" s="92">
        <v>6171.7719183295567</v>
      </c>
      <c r="AA70" s="92">
        <v>5905.0194838044881</v>
      </c>
      <c r="AB70" s="92">
        <v>5540.8191171554708</v>
      </c>
      <c r="AC70" s="92">
        <v>5104.6224151481883</v>
      </c>
      <c r="AD70" s="92">
        <v>4587.6823371310484</v>
      </c>
      <c r="AE70" s="92">
        <v>3816.4194187855501</v>
      </c>
      <c r="AF70" s="92">
        <v>3128.1256913781572</v>
      </c>
      <c r="AG70" s="92">
        <v>2511.6010915494139</v>
      </c>
      <c r="AH70" s="92">
        <v>2163.6730145460838</v>
      </c>
      <c r="AI70" s="338">
        <v>2128.4235880496599</v>
      </c>
      <c r="AJ70" s="338">
        <f t="shared" si="15"/>
        <v>1871.9674838080505</v>
      </c>
      <c r="AK70" s="338">
        <v>1615.5113795664408</v>
      </c>
      <c r="AL70" s="338">
        <f t="shared" si="11"/>
        <v>1443.2813652306118</v>
      </c>
      <c r="AM70" s="338">
        <f t="shared" si="12"/>
        <v>1271.0513508947824</v>
      </c>
      <c r="AN70" s="338">
        <v>1098.8213365589534</v>
      </c>
      <c r="AO70" s="338">
        <f t="shared" si="16"/>
        <v>1004.902648751343</v>
      </c>
      <c r="AP70" s="338">
        <v>910.98396094373265</v>
      </c>
    </row>
    <row r="71" spans="1:42" ht="84">
      <c r="A71" s="91" t="s">
        <v>221</v>
      </c>
      <c r="B71" s="92">
        <v>16.807510660424491</v>
      </c>
      <c r="C71" s="92">
        <v>17.163927327091159</v>
      </c>
      <c r="D71" s="92">
        <v>17.520343993757827</v>
      </c>
      <c r="E71" s="92">
        <v>17.876760660424491</v>
      </c>
      <c r="F71" s="92">
        <v>142.12660150335063</v>
      </c>
      <c r="G71" s="92">
        <v>305.58839499384305</v>
      </c>
      <c r="H71" s="92">
        <v>577.98209694454874</v>
      </c>
      <c r="I71" s="92">
        <v>711.65399850865003</v>
      </c>
      <c r="J71" s="92">
        <v>714.23989864545581</v>
      </c>
      <c r="K71" s="92">
        <v>716.64020440930472</v>
      </c>
      <c r="L71" s="92">
        <v>695.13971571700858</v>
      </c>
      <c r="M71" s="92">
        <v>675.90369390282058</v>
      </c>
      <c r="N71" s="92">
        <v>670.69862565959659</v>
      </c>
      <c r="O71" s="92">
        <v>705.4928012636567</v>
      </c>
      <c r="P71" s="92">
        <v>645.00688351786789</v>
      </c>
      <c r="Q71" s="92">
        <v>648.75706431849426</v>
      </c>
      <c r="R71" s="92">
        <v>652.40109685120501</v>
      </c>
      <c r="S71" s="92">
        <v>650.87359747296682</v>
      </c>
      <c r="T71" s="92">
        <v>653.15816599792879</v>
      </c>
      <c r="U71" s="92">
        <v>625.11148959783191</v>
      </c>
      <c r="V71" s="92">
        <v>646.24648299415082</v>
      </c>
      <c r="W71" s="92">
        <v>676.4386581305539</v>
      </c>
      <c r="X71" s="92">
        <v>613.63926862187543</v>
      </c>
      <c r="Y71" s="92">
        <v>569.24662139235738</v>
      </c>
      <c r="Z71" s="92">
        <v>569.68125591887735</v>
      </c>
      <c r="AA71" s="92">
        <v>567.10682882066419</v>
      </c>
      <c r="AB71" s="92">
        <v>563.87859692051245</v>
      </c>
      <c r="AC71" s="92">
        <v>565.28550443915447</v>
      </c>
      <c r="AD71" s="92">
        <v>365.66864496165488</v>
      </c>
      <c r="AE71" s="92">
        <v>130.77929302055421</v>
      </c>
      <c r="AF71" s="92">
        <v>75.184103673628513</v>
      </c>
      <c r="AG71" s="92">
        <v>77.038198561656102</v>
      </c>
      <c r="AH71" s="92">
        <v>77.038198561656102</v>
      </c>
      <c r="AI71" s="338">
        <v>65.531957291869432</v>
      </c>
      <c r="AJ71" s="338">
        <f t="shared" si="15"/>
        <v>63.422197001684665</v>
      </c>
      <c r="AK71" s="338">
        <v>61.312436711499892</v>
      </c>
      <c r="AL71" s="338">
        <f t="shared" si="11"/>
        <v>60.081822419126233</v>
      </c>
      <c r="AM71" s="338">
        <f t="shared" si="12"/>
        <v>58.851208126752574</v>
      </c>
      <c r="AN71" s="338">
        <v>57.620593834378916</v>
      </c>
      <c r="AO71" s="338">
        <f t="shared" si="16"/>
        <v>54.83451540527912</v>
      </c>
      <c r="AP71" s="338">
        <v>52.048436976179332</v>
      </c>
    </row>
    <row r="72" spans="1:42" ht="72">
      <c r="A72" s="91" t="s">
        <v>424</v>
      </c>
      <c r="B72" s="92">
        <v>14.24909411143094</v>
      </c>
      <c r="C72" s="92">
        <v>14.338150949627382</v>
      </c>
      <c r="D72" s="92">
        <v>14.427207787823829</v>
      </c>
      <c r="E72" s="92">
        <v>14.516264626020266</v>
      </c>
      <c r="F72" s="92">
        <v>14.605321464216711</v>
      </c>
      <c r="G72" s="92">
        <v>14.694378302413156</v>
      </c>
      <c r="H72" s="92">
        <v>14.126393578804731</v>
      </c>
      <c r="I72" s="92">
        <v>13.550492691801065</v>
      </c>
      <c r="J72" s="92">
        <v>12.966675641402157</v>
      </c>
      <c r="K72" s="92">
        <v>12.609451130808328</v>
      </c>
      <c r="L72" s="92">
        <v>12.252226620214499</v>
      </c>
      <c r="M72" s="92">
        <v>11.89500210962067</v>
      </c>
      <c r="N72" s="92">
        <v>11.537777599026843</v>
      </c>
      <c r="O72" s="92">
        <v>11.180553088433014</v>
      </c>
      <c r="P72" s="92">
        <v>10.823328577839183</v>
      </c>
      <c r="Q72" s="92">
        <v>10.466104067245357</v>
      </c>
      <c r="R72" s="92">
        <v>10.25251606501042</v>
      </c>
      <c r="S72" s="92">
        <v>10.038928062775481</v>
      </c>
      <c r="T72" s="92">
        <v>9.8058280873193961</v>
      </c>
      <c r="U72" s="92">
        <v>9.5457385122248155</v>
      </c>
      <c r="V72" s="92">
        <v>8.1157207806591423</v>
      </c>
      <c r="W72" s="92">
        <v>6.7794334231158047</v>
      </c>
      <c r="X72" s="92">
        <v>6.6641260653844592</v>
      </c>
      <c r="Y72" s="92">
        <v>6.1572875636024369</v>
      </c>
      <c r="Z72" s="92">
        <v>5.2801940058139616</v>
      </c>
      <c r="AA72" s="92">
        <v>5.7310624817224429</v>
      </c>
      <c r="AB72" s="92">
        <v>5.79120169234392</v>
      </c>
      <c r="AC72" s="92">
        <v>5.0125843229472418</v>
      </c>
      <c r="AD72" s="92">
        <v>5.3465526845068059</v>
      </c>
      <c r="AE72" s="92">
        <v>4.9606151220528032</v>
      </c>
      <c r="AF72" s="92">
        <v>5.0035576739792864</v>
      </c>
      <c r="AG72" s="92">
        <v>4.6931797155527351</v>
      </c>
      <c r="AH72" s="92">
        <v>4.6931797155527342</v>
      </c>
      <c r="AI72" s="338">
        <v>5.0035576739792873</v>
      </c>
      <c r="AJ72" s="338">
        <f t="shared" si="15"/>
        <v>5.0035576739792873</v>
      </c>
      <c r="AK72" s="338">
        <v>5.0035576739792873</v>
      </c>
      <c r="AL72" s="338">
        <f t="shared" si="11"/>
        <v>5.0035576739792873</v>
      </c>
      <c r="AM72" s="338">
        <f t="shared" si="12"/>
        <v>5.0035576739792873</v>
      </c>
      <c r="AN72" s="338">
        <v>5.0035576739792873</v>
      </c>
      <c r="AO72" s="338">
        <f t="shared" si="16"/>
        <v>5.0035576739792873</v>
      </c>
      <c r="AP72" s="338">
        <v>5.0035576739792873</v>
      </c>
    </row>
    <row r="73" spans="1:42">
      <c r="A73" s="112" t="s">
        <v>425</v>
      </c>
      <c r="B73" s="113">
        <v>146.91718848912814</v>
      </c>
      <c r="C73" s="113">
        <v>147.39537731245835</v>
      </c>
      <c r="D73" s="113">
        <v>148.07955371755185</v>
      </c>
      <c r="E73" s="113">
        <v>165.3344933820288</v>
      </c>
      <c r="F73" s="113">
        <v>356.31726110154631</v>
      </c>
      <c r="G73" s="113">
        <v>821.19665725591221</v>
      </c>
      <c r="H73" s="113">
        <v>1564.1795717505649</v>
      </c>
      <c r="I73" s="113">
        <v>2053.69186611241</v>
      </c>
      <c r="J73" s="113">
        <v>2287.789976083433</v>
      </c>
      <c r="K73" s="113">
        <v>2676.9457349784411</v>
      </c>
      <c r="L73" s="113">
        <v>3381.3557064827546</v>
      </c>
      <c r="M73" s="113">
        <v>3941.8692567208618</v>
      </c>
      <c r="N73" s="113">
        <v>4572.1192388049221</v>
      </c>
      <c r="O73" s="113">
        <v>5361.727328606532</v>
      </c>
      <c r="P73" s="113">
        <v>6126.7766291354228</v>
      </c>
      <c r="Q73" s="113">
        <v>6828.1372260816406</v>
      </c>
      <c r="R73" s="113">
        <v>7650.2601996090916</v>
      </c>
      <c r="S73" s="113">
        <v>8323.3578973279073</v>
      </c>
      <c r="T73" s="113">
        <v>8940.6942234304461</v>
      </c>
      <c r="U73" s="113">
        <v>9053.4371164290933</v>
      </c>
      <c r="V73" s="113">
        <v>9538.2406397330778</v>
      </c>
      <c r="W73" s="113">
        <v>9905.0751833825288</v>
      </c>
      <c r="X73" s="113">
        <v>9950.4779575906832</v>
      </c>
      <c r="Y73" s="113">
        <v>9909.4303782967036</v>
      </c>
      <c r="Z73" s="113">
        <v>9899.7929398819215</v>
      </c>
      <c r="AA73" s="113">
        <v>9784.726227647523</v>
      </c>
      <c r="AB73" s="113">
        <v>9599.7569527620653</v>
      </c>
      <c r="AC73" s="113">
        <v>9242.9478346056094</v>
      </c>
      <c r="AD73" s="113">
        <v>8365.8614878703484</v>
      </c>
      <c r="AE73" s="113">
        <v>7076.0889100171498</v>
      </c>
      <c r="AF73" s="113">
        <v>6221.3367167601509</v>
      </c>
      <c r="AG73" s="113">
        <v>5520.5622572432894</v>
      </c>
      <c r="AH73" s="113">
        <v>4606.5711930723928</v>
      </c>
      <c r="AI73" s="344">
        <v>4351.2743670253831</v>
      </c>
      <c r="AJ73" s="147">
        <f>AJ67+AJ68+SUM(AJ69:AJ72)</f>
        <v>4045.6637344040541</v>
      </c>
      <c r="AK73" s="147">
        <v>3740.0531017827257</v>
      </c>
      <c r="AL73" s="147">
        <f>AL67+AL68+SUM(AL69:AL72)</f>
        <v>3514.8905814774116</v>
      </c>
      <c r="AM73" s="147">
        <f>AM67+AM68+SUM(AM69:AM72)</f>
        <v>3289.728061172098</v>
      </c>
      <c r="AN73" s="147">
        <v>3064.5655408667849</v>
      </c>
      <c r="AO73" s="147">
        <f>AO67+AO68+SUM(AO69:AO72)</f>
        <v>2920.4862556151875</v>
      </c>
      <c r="AP73" s="147">
        <v>2776.4069703635896</v>
      </c>
    </row>
    <row r="74" spans="1:42" ht="15">
      <c r="A74" s="421"/>
      <c r="B74" s="421"/>
      <c r="C74" s="421"/>
      <c r="D74" s="421"/>
      <c r="E74" s="421"/>
      <c r="F74" s="421"/>
      <c r="G74" s="421"/>
      <c r="H74" s="421"/>
      <c r="I74" s="421"/>
      <c r="J74" s="421"/>
      <c r="K74" s="421"/>
      <c r="L74" s="421"/>
      <c r="M74" s="421"/>
      <c r="N74" s="421"/>
      <c r="O74" s="421"/>
      <c r="P74" s="421"/>
      <c r="Q74" s="421"/>
      <c r="R74" s="421"/>
      <c r="S74" s="421"/>
      <c r="T74" s="421"/>
      <c r="U74" s="421"/>
      <c r="V74" s="421"/>
      <c r="W74" s="421"/>
      <c r="X74" s="421"/>
      <c r="Y74" s="421"/>
      <c r="Z74" s="421"/>
      <c r="AA74" s="421"/>
      <c r="AB74" s="421"/>
      <c r="AC74" s="70"/>
      <c r="AD74" s="70"/>
      <c r="AE74" s="70"/>
      <c r="AF74" s="70"/>
      <c r="AG74" s="70"/>
      <c r="AH74" s="70"/>
    </row>
    <row r="75" spans="1:42">
      <c r="A75" s="114" t="s">
        <v>400</v>
      </c>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430" t="s">
        <v>393</v>
      </c>
      <c r="AJ75" s="430"/>
      <c r="AK75" s="430"/>
      <c r="AL75" s="430"/>
      <c r="AM75" s="430"/>
      <c r="AN75" s="430"/>
      <c r="AO75" s="430"/>
      <c r="AP75" s="430"/>
    </row>
    <row r="76" spans="1:42" ht="105.6">
      <c r="A76" s="75" t="s">
        <v>481</v>
      </c>
      <c r="B76" s="76">
        <v>1990</v>
      </c>
      <c r="C76" s="76">
        <v>1991</v>
      </c>
      <c r="D76" s="76">
        <v>1992</v>
      </c>
      <c r="E76" s="76">
        <v>1993</v>
      </c>
      <c r="F76" s="76">
        <v>1994</v>
      </c>
      <c r="G76" s="76">
        <v>1995</v>
      </c>
      <c r="H76" s="76">
        <v>1996</v>
      </c>
      <c r="I76" s="76">
        <v>1997</v>
      </c>
      <c r="J76" s="76">
        <v>1998</v>
      </c>
      <c r="K76" s="76">
        <v>1999</v>
      </c>
      <c r="L76" s="76">
        <v>2000</v>
      </c>
      <c r="M76" s="76">
        <v>2001</v>
      </c>
      <c r="N76" s="76">
        <v>2002</v>
      </c>
      <c r="O76" s="76">
        <v>2003</v>
      </c>
      <c r="P76" s="76">
        <v>2004</v>
      </c>
      <c r="Q76" s="76">
        <v>2005</v>
      </c>
      <c r="R76" s="76">
        <v>2006</v>
      </c>
      <c r="S76" s="76">
        <v>2007</v>
      </c>
      <c r="T76" s="76">
        <v>2008</v>
      </c>
      <c r="U76" s="76">
        <v>2009</v>
      </c>
      <c r="V76" s="76">
        <v>2010</v>
      </c>
      <c r="W76" s="76">
        <v>2011</v>
      </c>
      <c r="X76" s="76">
        <v>2012</v>
      </c>
      <c r="Y76" s="76">
        <v>2013</v>
      </c>
      <c r="Z76" s="76">
        <v>2014</v>
      </c>
      <c r="AA76" s="76">
        <v>2015</v>
      </c>
      <c r="AB76" s="76">
        <v>2016</v>
      </c>
      <c r="AC76" s="76">
        <v>2017</v>
      </c>
      <c r="AD76" s="76">
        <v>2018</v>
      </c>
      <c r="AE76" s="76">
        <v>2019</v>
      </c>
      <c r="AF76" s="76">
        <v>2020</v>
      </c>
      <c r="AG76" s="77">
        <v>2021</v>
      </c>
      <c r="AH76" s="77" t="s">
        <v>395</v>
      </c>
      <c r="AI76" s="76">
        <v>2023</v>
      </c>
      <c r="AJ76" s="152">
        <v>2024</v>
      </c>
      <c r="AK76" s="76">
        <v>2025</v>
      </c>
      <c r="AL76" s="152">
        <v>2026</v>
      </c>
      <c r="AM76" s="152">
        <v>2027</v>
      </c>
      <c r="AN76" s="76">
        <v>2028</v>
      </c>
      <c r="AO76" s="152">
        <v>2029</v>
      </c>
      <c r="AP76" s="76">
        <v>2030</v>
      </c>
    </row>
    <row r="77" spans="1:42">
      <c r="A77" s="100" t="s">
        <v>295</v>
      </c>
      <c r="B77" s="92">
        <v>0</v>
      </c>
      <c r="C77" s="92">
        <v>0</v>
      </c>
      <c r="D77" s="92">
        <v>0</v>
      </c>
      <c r="E77" s="92">
        <v>0</v>
      </c>
      <c r="F77" s="92">
        <v>0</v>
      </c>
      <c r="G77" s="92">
        <v>0</v>
      </c>
      <c r="H77" s="92">
        <v>0</v>
      </c>
      <c r="I77" s="92">
        <v>0</v>
      </c>
      <c r="J77" s="92">
        <v>0</v>
      </c>
      <c r="K77" s="92">
        <v>0</v>
      </c>
      <c r="L77" s="92">
        <v>0</v>
      </c>
      <c r="M77" s="92">
        <v>0</v>
      </c>
      <c r="N77" s="92">
        <v>0</v>
      </c>
      <c r="O77" s="92">
        <v>0</v>
      </c>
      <c r="P77" s="92">
        <v>0</v>
      </c>
      <c r="Q77" s="92">
        <v>0</v>
      </c>
      <c r="R77" s="92">
        <v>0</v>
      </c>
      <c r="S77" s="92">
        <v>0</v>
      </c>
      <c r="T77" s="92">
        <v>0</v>
      </c>
      <c r="U77" s="92">
        <v>0</v>
      </c>
      <c r="V77" s="92">
        <v>0</v>
      </c>
      <c r="W77" s="92">
        <v>0</v>
      </c>
      <c r="X77" s="92">
        <v>0</v>
      </c>
      <c r="Y77" s="92">
        <v>0</v>
      </c>
      <c r="Z77" s="92">
        <v>0</v>
      </c>
      <c r="AA77" s="92">
        <v>0</v>
      </c>
      <c r="AB77" s="92">
        <v>0</v>
      </c>
      <c r="AC77" s="92">
        <v>0</v>
      </c>
      <c r="AD77" s="92">
        <v>0</v>
      </c>
      <c r="AE77" s="92">
        <v>0</v>
      </c>
      <c r="AF77" s="92">
        <v>0</v>
      </c>
      <c r="AG77" s="92">
        <v>0</v>
      </c>
      <c r="AH77" s="92">
        <v>0</v>
      </c>
      <c r="AI77" s="338">
        <v>0</v>
      </c>
      <c r="AJ77" s="338">
        <f>AI77+(AK77-AI77)/2</f>
        <v>0</v>
      </c>
      <c r="AK77" s="338">
        <v>0</v>
      </c>
      <c r="AL77" s="338">
        <f>AK77+(AN77-AK77)/3</f>
        <v>0</v>
      </c>
      <c r="AM77" s="338">
        <f>AK77+(AN77-AK77)*2/3</f>
        <v>0</v>
      </c>
      <c r="AN77" s="338">
        <v>0</v>
      </c>
      <c r="AO77" s="338">
        <f>AN77+(AP77-AN77)/2</f>
        <v>0</v>
      </c>
      <c r="AP77" s="338">
        <v>0</v>
      </c>
    </row>
    <row r="78" spans="1:42">
      <c r="A78" s="100" t="s">
        <v>296</v>
      </c>
      <c r="B78" s="92">
        <v>0</v>
      </c>
      <c r="C78" s="92">
        <v>0</v>
      </c>
      <c r="D78" s="92">
        <v>0</v>
      </c>
      <c r="E78" s="92">
        <v>0</v>
      </c>
      <c r="F78" s="92">
        <v>0</v>
      </c>
      <c r="G78" s="92">
        <v>0</v>
      </c>
      <c r="H78" s="92">
        <v>0</v>
      </c>
      <c r="I78" s="92">
        <v>0</v>
      </c>
      <c r="J78" s="92">
        <v>0</v>
      </c>
      <c r="K78" s="92">
        <v>0</v>
      </c>
      <c r="L78" s="92">
        <v>0</v>
      </c>
      <c r="M78" s="92">
        <v>0</v>
      </c>
      <c r="N78" s="92">
        <v>0</v>
      </c>
      <c r="O78" s="92">
        <v>0</v>
      </c>
      <c r="P78" s="92">
        <v>0</v>
      </c>
      <c r="Q78" s="92">
        <v>0</v>
      </c>
      <c r="R78" s="92">
        <v>0</v>
      </c>
      <c r="S78" s="92">
        <v>0</v>
      </c>
      <c r="T78" s="92">
        <v>0</v>
      </c>
      <c r="U78" s="92">
        <v>0</v>
      </c>
      <c r="V78" s="92">
        <v>0</v>
      </c>
      <c r="W78" s="92">
        <v>0</v>
      </c>
      <c r="X78" s="92">
        <v>0</v>
      </c>
      <c r="Y78" s="92">
        <v>0</v>
      </c>
      <c r="Z78" s="92">
        <v>0</v>
      </c>
      <c r="AA78" s="92">
        <v>0</v>
      </c>
      <c r="AB78" s="92">
        <v>0</v>
      </c>
      <c r="AC78" s="92">
        <v>0</v>
      </c>
      <c r="AD78" s="92">
        <v>0</v>
      </c>
      <c r="AE78" s="92">
        <v>0</v>
      </c>
      <c r="AF78" s="92">
        <v>0</v>
      </c>
      <c r="AG78" s="92">
        <v>0</v>
      </c>
      <c r="AH78" s="92">
        <v>0</v>
      </c>
      <c r="AI78" s="338">
        <v>0</v>
      </c>
      <c r="AJ78" s="338">
        <f t="shared" ref="AJ78:AJ80" si="17">AI78+(AK78-AI78)/2</f>
        <v>0</v>
      </c>
      <c r="AK78" s="338">
        <v>0</v>
      </c>
      <c r="AL78" s="338">
        <f t="shared" ref="AL78:AL80" si="18">AK78+(AN78-AK78)/3</f>
        <v>0</v>
      </c>
      <c r="AM78" s="338">
        <f t="shared" ref="AM78:AM80" si="19">AK78+(AN78-AK78)*2/3</f>
        <v>0</v>
      </c>
      <c r="AN78" s="338">
        <v>0</v>
      </c>
      <c r="AO78" s="338">
        <f t="shared" ref="AO78:AO80" si="20">AN78+(AP78-AN78)/2</f>
        <v>0</v>
      </c>
      <c r="AP78" s="338">
        <v>0</v>
      </c>
    </row>
    <row r="79" spans="1:42">
      <c r="A79" s="100" t="s">
        <v>297</v>
      </c>
      <c r="B79" s="92">
        <v>0</v>
      </c>
      <c r="C79" s="92">
        <v>0</v>
      </c>
      <c r="D79" s="92">
        <v>0</v>
      </c>
      <c r="E79" s="92">
        <v>0</v>
      </c>
      <c r="F79" s="92">
        <v>0</v>
      </c>
      <c r="G79" s="92">
        <v>0</v>
      </c>
      <c r="H79" s="92">
        <v>0</v>
      </c>
      <c r="I79" s="92">
        <v>0</v>
      </c>
      <c r="J79" s="92">
        <v>0</v>
      </c>
      <c r="K79" s="92">
        <v>0</v>
      </c>
      <c r="L79" s="92">
        <v>0</v>
      </c>
      <c r="M79" s="92">
        <v>0</v>
      </c>
      <c r="N79" s="92">
        <v>0</v>
      </c>
      <c r="O79" s="92">
        <v>0</v>
      </c>
      <c r="P79" s="92">
        <v>0</v>
      </c>
      <c r="Q79" s="92">
        <v>0</v>
      </c>
      <c r="R79" s="92">
        <v>0</v>
      </c>
      <c r="S79" s="92">
        <v>0</v>
      </c>
      <c r="T79" s="92">
        <v>0</v>
      </c>
      <c r="U79" s="92">
        <v>0</v>
      </c>
      <c r="V79" s="92">
        <v>0</v>
      </c>
      <c r="W79" s="92">
        <v>0</v>
      </c>
      <c r="X79" s="92">
        <v>0</v>
      </c>
      <c r="Y79" s="92">
        <v>0</v>
      </c>
      <c r="Z79" s="92">
        <v>0</v>
      </c>
      <c r="AA79" s="92">
        <v>0</v>
      </c>
      <c r="AB79" s="92">
        <v>0</v>
      </c>
      <c r="AC79" s="92">
        <v>0</v>
      </c>
      <c r="AD79" s="92">
        <v>0</v>
      </c>
      <c r="AE79" s="92">
        <v>0</v>
      </c>
      <c r="AF79" s="92">
        <v>0</v>
      </c>
      <c r="AG79" s="92">
        <v>0</v>
      </c>
      <c r="AH79" s="92">
        <v>0</v>
      </c>
      <c r="AI79" s="338">
        <v>0</v>
      </c>
      <c r="AJ79" s="338">
        <f t="shared" si="17"/>
        <v>0</v>
      </c>
      <c r="AK79" s="338">
        <v>0</v>
      </c>
      <c r="AL79" s="338">
        <f t="shared" si="18"/>
        <v>0</v>
      </c>
      <c r="AM79" s="338">
        <f t="shared" si="19"/>
        <v>0</v>
      </c>
      <c r="AN79" s="338">
        <v>0</v>
      </c>
      <c r="AO79" s="338">
        <f t="shared" si="20"/>
        <v>0</v>
      </c>
      <c r="AP79" s="338">
        <v>0</v>
      </c>
    </row>
    <row r="80" spans="1:42" ht="36">
      <c r="A80" s="100" t="s">
        <v>298</v>
      </c>
      <c r="B80" s="92">
        <v>0</v>
      </c>
      <c r="C80" s="92">
        <v>0</v>
      </c>
      <c r="D80" s="92">
        <v>0</v>
      </c>
      <c r="E80" s="92">
        <v>0</v>
      </c>
      <c r="F80" s="92">
        <v>0</v>
      </c>
      <c r="G80" s="92">
        <v>0</v>
      </c>
      <c r="H80" s="92">
        <v>0</v>
      </c>
      <c r="I80" s="92">
        <v>0</v>
      </c>
      <c r="J80" s="92">
        <v>0</v>
      </c>
      <c r="K80" s="92">
        <v>9.6517719565068845</v>
      </c>
      <c r="L80" s="92">
        <v>21.535865406489474</v>
      </c>
      <c r="M80" s="92">
        <v>41.728773721239889</v>
      </c>
      <c r="N80" s="92">
        <v>54.538452828469808</v>
      </c>
      <c r="O80" s="92">
        <v>45.766735254108816</v>
      </c>
      <c r="P80" s="92">
        <v>43.98768897036674</v>
      </c>
      <c r="Q80" s="92">
        <v>60.206825541104088</v>
      </c>
      <c r="R80" s="92">
        <v>67.305330212252827</v>
      </c>
      <c r="S80" s="92">
        <v>59.141583942573945</v>
      </c>
      <c r="T80" s="92">
        <v>63.258398384722689</v>
      </c>
      <c r="U80" s="92">
        <v>82.198595250447681</v>
      </c>
      <c r="V80" s="92">
        <v>96.635468801445981</v>
      </c>
      <c r="W80" s="92">
        <v>92.86029325876676</v>
      </c>
      <c r="X80" s="92">
        <v>89.01940919770297</v>
      </c>
      <c r="Y80" s="92">
        <v>90.560968661224237</v>
      </c>
      <c r="Z80" s="92">
        <v>90.484467734181052</v>
      </c>
      <c r="AA80" s="92">
        <v>78.884436656535073</v>
      </c>
      <c r="AB80" s="92">
        <v>76.576428708498653</v>
      </c>
      <c r="AC80" s="92">
        <v>78.527059581514607</v>
      </c>
      <c r="AD80" s="92">
        <v>70.31931046648296</v>
      </c>
      <c r="AE80" s="92">
        <v>81.637419671209912</v>
      </c>
      <c r="AF80" s="92">
        <v>73.958378110233355</v>
      </c>
      <c r="AG80" s="92">
        <v>52.96150826516098</v>
      </c>
      <c r="AH80" s="92">
        <v>62.360101649714288</v>
      </c>
      <c r="AI80" s="338">
        <v>33.772392225254322</v>
      </c>
      <c r="AJ80" s="338">
        <f t="shared" si="17"/>
        <v>28.235386278371173</v>
      </c>
      <c r="AK80" s="338">
        <v>22.698380331488025</v>
      </c>
      <c r="AL80" s="338">
        <f t="shared" si="18"/>
        <v>20.482939720550721</v>
      </c>
      <c r="AM80" s="338">
        <f t="shared" si="19"/>
        <v>18.267499109613414</v>
      </c>
      <c r="AN80" s="338">
        <v>16.052058498676111</v>
      </c>
      <c r="AO80" s="338">
        <f t="shared" si="20"/>
        <v>14.922375287841971</v>
      </c>
      <c r="AP80" s="338">
        <v>13.792692077007832</v>
      </c>
    </row>
    <row r="81" spans="1:42">
      <c r="A81" s="116" t="s">
        <v>426</v>
      </c>
      <c r="B81" s="117">
        <v>0</v>
      </c>
      <c r="C81" s="117">
        <v>0</v>
      </c>
      <c r="D81" s="117">
        <v>0</v>
      </c>
      <c r="E81" s="117">
        <v>0</v>
      </c>
      <c r="F81" s="117">
        <v>0</v>
      </c>
      <c r="G81" s="117">
        <v>0</v>
      </c>
      <c r="H81" s="117">
        <v>0</v>
      </c>
      <c r="I81" s="117">
        <v>0</v>
      </c>
      <c r="J81" s="117">
        <v>0</v>
      </c>
      <c r="K81" s="117">
        <v>9.6517719565068845</v>
      </c>
      <c r="L81" s="117">
        <v>21.535865406489474</v>
      </c>
      <c r="M81" s="117">
        <v>41.728773721239889</v>
      </c>
      <c r="N81" s="117">
        <v>54.538452828469808</v>
      </c>
      <c r="O81" s="117">
        <v>45.766735254108816</v>
      </c>
      <c r="P81" s="117">
        <v>43.98768897036674</v>
      </c>
      <c r="Q81" s="117">
        <v>60.206825541104088</v>
      </c>
      <c r="R81" s="117">
        <v>67.305330212252827</v>
      </c>
      <c r="S81" s="117">
        <v>59.141583942573945</v>
      </c>
      <c r="T81" s="117">
        <v>63.258398384722689</v>
      </c>
      <c r="U81" s="117">
        <v>82.198595250447681</v>
      </c>
      <c r="V81" s="117">
        <v>96.635468801445981</v>
      </c>
      <c r="W81" s="117">
        <v>92.86029325876676</v>
      </c>
      <c r="X81" s="117">
        <v>89.01940919770297</v>
      </c>
      <c r="Y81" s="117">
        <v>90.560968661224237</v>
      </c>
      <c r="Z81" s="117">
        <v>90.484467734181052</v>
      </c>
      <c r="AA81" s="117">
        <v>78.884436656535073</v>
      </c>
      <c r="AB81" s="117">
        <v>76.576428708498653</v>
      </c>
      <c r="AC81" s="117">
        <v>78.527059581514607</v>
      </c>
      <c r="AD81" s="117">
        <v>70.31931046648296</v>
      </c>
      <c r="AE81" s="117">
        <v>81.637419671209912</v>
      </c>
      <c r="AF81" s="117">
        <v>73.958378110233355</v>
      </c>
      <c r="AG81" s="117">
        <v>52.96150826516098</v>
      </c>
      <c r="AH81" s="117">
        <v>62.360101649714288</v>
      </c>
      <c r="AI81" s="345">
        <v>33.772392225254322</v>
      </c>
      <c r="AJ81" s="345">
        <f>SUM(AJ77:AJ80)</f>
        <v>28.235386278371173</v>
      </c>
      <c r="AK81" s="345">
        <v>22.698380331488025</v>
      </c>
      <c r="AL81" s="345">
        <f t="shared" ref="AL81:AO81" si="21">SUM(AL77:AL80)</f>
        <v>20.482939720550721</v>
      </c>
      <c r="AM81" s="345">
        <f t="shared" si="21"/>
        <v>18.267499109613414</v>
      </c>
      <c r="AN81" s="345">
        <v>16.052058498676111</v>
      </c>
      <c r="AO81" s="345">
        <f t="shared" si="21"/>
        <v>14.922375287841971</v>
      </c>
      <c r="AP81" s="345">
        <v>13.792692077007832</v>
      </c>
    </row>
    <row r="82" spans="1:42" ht="36">
      <c r="A82" s="100" t="s">
        <v>300</v>
      </c>
      <c r="B82" s="92">
        <v>0</v>
      </c>
      <c r="C82" s="92">
        <v>0</v>
      </c>
      <c r="D82" s="92">
        <v>0</v>
      </c>
      <c r="E82" s="92">
        <v>0</v>
      </c>
      <c r="F82" s="92">
        <v>0</v>
      </c>
      <c r="G82" s="92">
        <v>0</v>
      </c>
      <c r="H82" s="92">
        <v>0</v>
      </c>
      <c r="I82" s="92">
        <v>0</v>
      </c>
      <c r="J82" s="92">
        <v>0</v>
      </c>
      <c r="K82" s="92">
        <v>0</v>
      </c>
      <c r="L82" s="92">
        <v>0</v>
      </c>
      <c r="M82" s="92">
        <v>0</v>
      </c>
      <c r="N82" s="92">
        <v>0</v>
      </c>
      <c r="O82" s="92">
        <v>0</v>
      </c>
      <c r="P82" s="92">
        <v>0</v>
      </c>
      <c r="Q82" s="92">
        <v>0</v>
      </c>
      <c r="R82" s="92">
        <v>0</v>
      </c>
      <c r="S82" s="92">
        <v>0</v>
      </c>
      <c r="T82" s="92">
        <v>0</v>
      </c>
      <c r="U82" s="92">
        <v>0</v>
      </c>
      <c r="V82" s="92">
        <v>0</v>
      </c>
      <c r="W82" s="92">
        <v>0</v>
      </c>
      <c r="X82" s="92">
        <v>0</v>
      </c>
      <c r="Y82" s="92">
        <v>0</v>
      </c>
      <c r="Z82" s="92">
        <v>0</v>
      </c>
      <c r="AA82" s="92">
        <v>0</v>
      </c>
      <c r="AB82" s="92">
        <v>0</v>
      </c>
      <c r="AC82" s="92">
        <v>0</v>
      </c>
      <c r="AD82" s="92">
        <v>0</v>
      </c>
      <c r="AE82" s="92">
        <v>0</v>
      </c>
      <c r="AF82" s="92">
        <v>0</v>
      </c>
      <c r="AG82" s="92">
        <v>0</v>
      </c>
      <c r="AH82" s="92">
        <v>0</v>
      </c>
      <c r="AI82" s="338">
        <v>0</v>
      </c>
      <c r="AJ82" s="338">
        <f>AI82+(AK82-AI82)/2</f>
        <v>0</v>
      </c>
      <c r="AK82" s="338">
        <v>0</v>
      </c>
      <c r="AL82" s="338">
        <f>AK82+(AN82-AK82)/3</f>
        <v>0</v>
      </c>
      <c r="AM82" s="338">
        <f>AK82+(AN82-AK82)*2/3</f>
        <v>0</v>
      </c>
      <c r="AN82" s="338">
        <v>0</v>
      </c>
      <c r="AO82" s="338">
        <f>AN82+(AP82-AN82)/2</f>
        <v>0</v>
      </c>
      <c r="AP82" s="338">
        <v>0</v>
      </c>
    </row>
    <row r="83" spans="1:42" ht="36">
      <c r="A83" s="100" t="s">
        <v>427</v>
      </c>
      <c r="B83" s="92">
        <v>0</v>
      </c>
      <c r="C83" s="92">
        <v>0</v>
      </c>
      <c r="D83" s="92">
        <v>0</v>
      </c>
      <c r="E83" s="92">
        <v>0</v>
      </c>
      <c r="F83" s="92">
        <v>0</v>
      </c>
      <c r="G83" s="92">
        <v>0</v>
      </c>
      <c r="H83" s="92">
        <v>0</v>
      </c>
      <c r="I83" s="92">
        <v>0</v>
      </c>
      <c r="J83" s="92">
        <v>0</v>
      </c>
      <c r="K83" s="92">
        <v>0</v>
      </c>
      <c r="L83" s="92">
        <v>0</v>
      </c>
      <c r="M83" s="92">
        <v>0</v>
      </c>
      <c r="N83" s="92">
        <v>0</v>
      </c>
      <c r="O83" s="92">
        <v>0</v>
      </c>
      <c r="P83" s="92">
        <v>0</v>
      </c>
      <c r="Q83" s="92">
        <v>0</v>
      </c>
      <c r="R83" s="92">
        <v>0</v>
      </c>
      <c r="S83" s="92">
        <v>0</v>
      </c>
      <c r="T83" s="92">
        <v>0</v>
      </c>
      <c r="U83" s="92">
        <v>0</v>
      </c>
      <c r="V83" s="92">
        <v>0</v>
      </c>
      <c r="W83" s="92">
        <v>0</v>
      </c>
      <c r="X83" s="92">
        <v>0</v>
      </c>
      <c r="Y83" s="92">
        <v>0</v>
      </c>
      <c r="Z83" s="92">
        <v>0</v>
      </c>
      <c r="AA83" s="92">
        <v>0</v>
      </c>
      <c r="AB83" s="92">
        <v>0</v>
      </c>
      <c r="AC83" s="92">
        <v>0</v>
      </c>
      <c r="AD83" s="92">
        <v>0</v>
      </c>
      <c r="AE83" s="92">
        <v>0</v>
      </c>
      <c r="AF83" s="92">
        <v>0</v>
      </c>
      <c r="AG83" s="92">
        <v>0</v>
      </c>
      <c r="AH83" s="92">
        <v>0</v>
      </c>
      <c r="AI83" s="338">
        <v>0</v>
      </c>
      <c r="AJ83" s="338">
        <f>AI83+(AK83-AI83)/2</f>
        <v>0</v>
      </c>
      <c r="AK83" s="338">
        <v>0</v>
      </c>
      <c r="AL83" s="338">
        <f>AK83+(AN83-AK83)/3</f>
        <v>0</v>
      </c>
      <c r="AM83" s="338">
        <f>AK83+(AN83-AK83)*2/3</f>
        <v>0</v>
      </c>
      <c r="AN83" s="338">
        <v>0</v>
      </c>
      <c r="AO83" s="338">
        <f>AN83+(AP83-AN83)/2</f>
        <v>0</v>
      </c>
      <c r="AP83" s="338">
        <v>0</v>
      </c>
    </row>
    <row r="84" spans="1:42">
      <c r="A84" s="100" t="s">
        <v>428</v>
      </c>
      <c r="B84" s="92">
        <v>0</v>
      </c>
      <c r="C84" s="92">
        <v>0</v>
      </c>
      <c r="D84" s="92">
        <v>0</v>
      </c>
      <c r="E84" s="92">
        <v>0</v>
      </c>
      <c r="F84" s="92">
        <v>0</v>
      </c>
      <c r="G84" s="92">
        <v>0</v>
      </c>
      <c r="H84" s="92">
        <v>0</v>
      </c>
      <c r="I84" s="92">
        <v>0</v>
      </c>
      <c r="J84" s="92">
        <v>0</v>
      </c>
      <c r="K84" s="92">
        <v>0</v>
      </c>
      <c r="L84" s="92">
        <v>0</v>
      </c>
      <c r="M84" s="92">
        <v>0</v>
      </c>
      <c r="N84" s="92">
        <v>0</v>
      </c>
      <c r="O84" s="92">
        <v>0</v>
      </c>
      <c r="P84" s="92">
        <v>0</v>
      </c>
      <c r="Q84" s="92">
        <v>0</v>
      </c>
      <c r="R84" s="92">
        <v>0</v>
      </c>
      <c r="S84" s="92">
        <v>0</v>
      </c>
      <c r="T84" s="92">
        <v>0</v>
      </c>
      <c r="U84" s="92">
        <v>0</v>
      </c>
      <c r="V84" s="92">
        <v>0</v>
      </c>
      <c r="W84" s="92">
        <v>0</v>
      </c>
      <c r="X84" s="92">
        <v>0</v>
      </c>
      <c r="Y84" s="92">
        <v>0</v>
      </c>
      <c r="Z84" s="92">
        <v>0</v>
      </c>
      <c r="AA84" s="92">
        <v>0</v>
      </c>
      <c r="AB84" s="92">
        <v>0</v>
      </c>
      <c r="AC84" s="92">
        <v>0</v>
      </c>
      <c r="AD84" s="92">
        <v>0</v>
      </c>
      <c r="AE84" s="92">
        <v>0</v>
      </c>
      <c r="AF84" s="92">
        <v>0</v>
      </c>
      <c r="AG84" s="92">
        <v>0</v>
      </c>
      <c r="AH84" s="92">
        <v>0</v>
      </c>
      <c r="AI84" s="338">
        <v>0</v>
      </c>
      <c r="AJ84" s="338">
        <f t="shared" ref="AJ84:AJ86" si="22">AI84+(AK84-AI84)/2</f>
        <v>0</v>
      </c>
      <c r="AK84" s="338">
        <v>0</v>
      </c>
      <c r="AL84" s="338">
        <f t="shared" ref="AL84:AL86" si="23">AK84+(AN84-AK84)/3</f>
        <v>0</v>
      </c>
      <c r="AM84" s="338">
        <f t="shared" ref="AM84:AM86" si="24">AK84+(AN84-AK84)*2/3</f>
        <v>0</v>
      </c>
      <c r="AN84" s="338">
        <v>0</v>
      </c>
      <c r="AO84" s="338">
        <f t="shared" ref="AO84:AO86" si="25">AN84+(AP84-AN84)/2</f>
        <v>0</v>
      </c>
      <c r="AP84" s="338">
        <v>0</v>
      </c>
    </row>
    <row r="85" spans="1:42" ht="36">
      <c r="A85" s="100" t="s">
        <v>429</v>
      </c>
      <c r="B85" s="92">
        <v>0</v>
      </c>
      <c r="C85" s="92">
        <v>0</v>
      </c>
      <c r="D85" s="92">
        <v>0</v>
      </c>
      <c r="E85" s="92">
        <v>0</v>
      </c>
      <c r="F85" s="92">
        <v>0</v>
      </c>
      <c r="G85" s="92">
        <v>0</v>
      </c>
      <c r="H85" s="92">
        <v>0</v>
      </c>
      <c r="I85" s="92">
        <v>0</v>
      </c>
      <c r="J85" s="92">
        <v>0</v>
      </c>
      <c r="K85" s="92">
        <v>0</v>
      </c>
      <c r="L85" s="92">
        <v>0</v>
      </c>
      <c r="M85" s="92">
        <v>0</v>
      </c>
      <c r="N85" s="92">
        <v>0</v>
      </c>
      <c r="O85" s="92">
        <v>0</v>
      </c>
      <c r="P85" s="92">
        <v>0</v>
      </c>
      <c r="Q85" s="92">
        <v>0</v>
      </c>
      <c r="R85" s="92">
        <v>0</v>
      </c>
      <c r="S85" s="92">
        <v>0</v>
      </c>
      <c r="T85" s="92">
        <v>0</v>
      </c>
      <c r="U85" s="92">
        <v>0</v>
      </c>
      <c r="V85" s="92">
        <v>0</v>
      </c>
      <c r="W85" s="92">
        <v>0</v>
      </c>
      <c r="X85" s="92">
        <v>0</v>
      </c>
      <c r="Y85" s="92">
        <v>0</v>
      </c>
      <c r="Z85" s="92">
        <v>0</v>
      </c>
      <c r="AA85" s="92">
        <v>0</v>
      </c>
      <c r="AB85" s="92">
        <v>0</v>
      </c>
      <c r="AC85" s="92">
        <v>0</v>
      </c>
      <c r="AD85" s="92">
        <v>0</v>
      </c>
      <c r="AE85" s="92">
        <v>0</v>
      </c>
      <c r="AF85" s="92">
        <v>0</v>
      </c>
      <c r="AG85" s="92">
        <v>0</v>
      </c>
      <c r="AH85" s="92">
        <v>0</v>
      </c>
      <c r="AI85" s="338">
        <v>0</v>
      </c>
      <c r="AJ85" s="338">
        <f t="shared" si="22"/>
        <v>0</v>
      </c>
      <c r="AK85" s="338">
        <v>0</v>
      </c>
      <c r="AL85" s="338">
        <f t="shared" si="23"/>
        <v>0</v>
      </c>
      <c r="AM85" s="338">
        <f t="shared" si="24"/>
        <v>0</v>
      </c>
      <c r="AN85" s="338">
        <v>0</v>
      </c>
      <c r="AO85" s="338">
        <f t="shared" si="25"/>
        <v>0</v>
      </c>
      <c r="AP85" s="338">
        <v>0</v>
      </c>
    </row>
    <row r="86" spans="1:42" ht="36">
      <c r="A86" s="100" t="s">
        <v>430</v>
      </c>
      <c r="B86" s="92">
        <v>0</v>
      </c>
      <c r="C86" s="92">
        <v>0</v>
      </c>
      <c r="D86" s="92">
        <v>0</v>
      </c>
      <c r="E86" s="92">
        <v>0</v>
      </c>
      <c r="F86" s="92">
        <v>0</v>
      </c>
      <c r="G86" s="92">
        <v>0</v>
      </c>
      <c r="H86" s="92">
        <v>0</v>
      </c>
      <c r="I86" s="92">
        <v>0</v>
      </c>
      <c r="J86" s="92">
        <v>0</v>
      </c>
      <c r="K86" s="92">
        <v>0</v>
      </c>
      <c r="L86" s="92">
        <v>0</v>
      </c>
      <c r="M86" s="92">
        <v>0</v>
      </c>
      <c r="N86" s="92">
        <v>0</v>
      </c>
      <c r="O86" s="92">
        <v>0</v>
      </c>
      <c r="P86" s="92">
        <v>0</v>
      </c>
      <c r="Q86" s="92">
        <v>0</v>
      </c>
      <c r="R86" s="92">
        <v>0</v>
      </c>
      <c r="S86" s="92">
        <v>0</v>
      </c>
      <c r="T86" s="92">
        <v>0</v>
      </c>
      <c r="U86" s="92">
        <v>0</v>
      </c>
      <c r="V86" s="92">
        <v>0</v>
      </c>
      <c r="W86" s="92">
        <v>0</v>
      </c>
      <c r="X86" s="92">
        <v>0</v>
      </c>
      <c r="Y86" s="92">
        <v>0</v>
      </c>
      <c r="Z86" s="92">
        <v>0</v>
      </c>
      <c r="AA86" s="92">
        <v>0</v>
      </c>
      <c r="AB86" s="92">
        <v>0</v>
      </c>
      <c r="AC86" s="92">
        <v>0</v>
      </c>
      <c r="AD86" s="92">
        <v>0</v>
      </c>
      <c r="AE86" s="92">
        <v>0</v>
      </c>
      <c r="AF86" s="92">
        <v>0</v>
      </c>
      <c r="AG86" s="92">
        <v>0</v>
      </c>
      <c r="AH86" s="92">
        <v>0</v>
      </c>
      <c r="AI86" s="338">
        <v>0</v>
      </c>
      <c r="AJ86" s="338">
        <f t="shared" si="22"/>
        <v>0</v>
      </c>
      <c r="AK86" s="338">
        <v>0</v>
      </c>
      <c r="AL86" s="338">
        <f t="shared" si="23"/>
        <v>0</v>
      </c>
      <c r="AM86" s="338">
        <f t="shared" si="24"/>
        <v>0</v>
      </c>
      <c r="AN86" s="338">
        <v>0</v>
      </c>
      <c r="AO86" s="338">
        <f t="shared" si="25"/>
        <v>0</v>
      </c>
      <c r="AP86" s="338">
        <v>0</v>
      </c>
    </row>
    <row r="87" spans="1:42">
      <c r="A87" s="116" t="s">
        <v>431</v>
      </c>
      <c r="B87" s="117">
        <v>0</v>
      </c>
      <c r="C87" s="117">
        <v>0</v>
      </c>
      <c r="D87" s="117">
        <v>0</v>
      </c>
      <c r="E87" s="117">
        <v>0</v>
      </c>
      <c r="F87" s="117">
        <v>0</v>
      </c>
      <c r="G87" s="117">
        <v>0</v>
      </c>
      <c r="H87" s="117">
        <v>0</v>
      </c>
      <c r="I87" s="117">
        <v>0</v>
      </c>
      <c r="J87" s="117">
        <v>0</v>
      </c>
      <c r="K87" s="117">
        <v>0</v>
      </c>
      <c r="L87" s="117">
        <v>0</v>
      </c>
      <c r="M87" s="117">
        <v>0</v>
      </c>
      <c r="N87" s="117">
        <v>0</v>
      </c>
      <c r="O87" s="117">
        <v>0</v>
      </c>
      <c r="P87" s="117">
        <v>0</v>
      </c>
      <c r="Q87" s="117">
        <v>0</v>
      </c>
      <c r="R87" s="117">
        <v>0</v>
      </c>
      <c r="S87" s="117">
        <v>0</v>
      </c>
      <c r="T87" s="117">
        <v>0</v>
      </c>
      <c r="U87" s="117">
        <v>0</v>
      </c>
      <c r="V87" s="117">
        <v>0</v>
      </c>
      <c r="W87" s="117">
        <v>0</v>
      </c>
      <c r="X87" s="117">
        <v>0</v>
      </c>
      <c r="Y87" s="117">
        <v>0</v>
      </c>
      <c r="Z87" s="117">
        <v>0</v>
      </c>
      <c r="AA87" s="117">
        <v>0</v>
      </c>
      <c r="AB87" s="117">
        <v>0</v>
      </c>
      <c r="AC87" s="117">
        <v>0</v>
      </c>
      <c r="AD87" s="117">
        <v>0</v>
      </c>
      <c r="AE87" s="117">
        <v>0</v>
      </c>
      <c r="AF87" s="117">
        <v>0</v>
      </c>
      <c r="AG87" s="117">
        <v>0</v>
      </c>
      <c r="AH87" s="117">
        <v>0</v>
      </c>
      <c r="AI87" s="345">
        <v>0</v>
      </c>
      <c r="AJ87" s="345">
        <f>SUM(AJ82:AJ86)</f>
        <v>0</v>
      </c>
      <c r="AK87" s="345">
        <v>0</v>
      </c>
      <c r="AL87" s="345">
        <f t="shared" ref="AL87:AO87" si="26">SUM(AL82:AL86)</f>
        <v>0</v>
      </c>
      <c r="AM87" s="345">
        <f t="shared" si="26"/>
        <v>0</v>
      </c>
      <c r="AN87" s="345">
        <v>0</v>
      </c>
      <c r="AO87" s="345">
        <f t="shared" si="26"/>
        <v>0</v>
      </c>
      <c r="AP87" s="345">
        <v>0</v>
      </c>
    </row>
    <row r="88" spans="1:42" ht="36">
      <c r="A88" s="100" t="s">
        <v>432</v>
      </c>
      <c r="B88" s="92">
        <v>0</v>
      </c>
      <c r="C88" s="92">
        <v>0</v>
      </c>
      <c r="D88" s="92">
        <v>0</v>
      </c>
      <c r="E88" s="92">
        <v>0</v>
      </c>
      <c r="F88" s="92">
        <v>0</v>
      </c>
      <c r="G88" s="92">
        <v>0</v>
      </c>
      <c r="H88" s="92">
        <v>0</v>
      </c>
      <c r="I88" s="92">
        <v>0</v>
      </c>
      <c r="J88" s="92">
        <v>0</v>
      </c>
      <c r="K88" s="92">
        <v>0</v>
      </c>
      <c r="L88" s="92">
        <v>0</v>
      </c>
      <c r="M88" s="92">
        <v>0</v>
      </c>
      <c r="N88" s="92">
        <v>0</v>
      </c>
      <c r="O88" s="92">
        <v>0</v>
      </c>
      <c r="P88" s="92">
        <v>0</v>
      </c>
      <c r="Q88" s="92">
        <v>0</v>
      </c>
      <c r="R88" s="92">
        <v>0</v>
      </c>
      <c r="S88" s="92">
        <v>0</v>
      </c>
      <c r="T88" s="92">
        <v>0</v>
      </c>
      <c r="U88" s="92">
        <v>0</v>
      </c>
      <c r="V88" s="92">
        <v>0</v>
      </c>
      <c r="W88" s="92">
        <v>0</v>
      </c>
      <c r="X88" s="92">
        <v>0</v>
      </c>
      <c r="Y88" s="92">
        <v>0</v>
      </c>
      <c r="Z88" s="92">
        <v>0</v>
      </c>
      <c r="AA88" s="92">
        <v>0</v>
      </c>
      <c r="AB88" s="92">
        <v>0</v>
      </c>
      <c r="AC88" s="92">
        <v>0</v>
      </c>
      <c r="AD88" s="92">
        <v>0</v>
      </c>
      <c r="AE88" s="92">
        <v>0</v>
      </c>
      <c r="AF88" s="92">
        <v>0</v>
      </c>
      <c r="AG88" s="92">
        <v>0</v>
      </c>
      <c r="AH88" s="92">
        <v>0</v>
      </c>
      <c r="AI88" s="425">
        <v>0</v>
      </c>
      <c r="AJ88" s="425">
        <v>0</v>
      </c>
      <c r="AK88" s="425">
        <v>0</v>
      </c>
      <c r="AL88" s="425">
        <v>0</v>
      </c>
      <c r="AM88" s="425">
        <v>0</v>
      </c>
      <c r="AN88" s="425">
        <v>0</v>
      </c>
      <c r="AO88" s="425">
        <v>0</v>
      </c>
      <c r="AP88" s="425">
        <v>0</v>
      </c>
    </row>
    <row r="89" spans="1:42" ht="36">
      <c r="A89" s="100" t="s">
        <v>433</v>
      </c>
      <c r="B89" s="92">
        <v>0</v>
      </c>
      <c r="C89" s="92">
        <v>0</v>
      </c>
      <c r="D89" s="92">
        <v>0</v>
      </c>
      <c r="E89" s="92">
        <v>0</v>
      </c>
      <c r="F89" s="92">
        <v>0</v>
      </c>
      <c r="G89" s="92">
        <v>0</v>
      </c>
      <c r="H89" s="92">
        <v>0</v>
      </c>
      <c r="I89" s="92">
        <v>0</v>
      </c>
      <c r="J89" s="92">
        <v>0</v>
      </c>
      <c r="K89" s="92">
        <v>0</v>
      </c>
      <c r="L89" s="92">
        <v>0</v>
      </c>
      <c r="M89" s="92">
        <v>0</v>
      </c>
      <c r="N89" s="92">
        <v>0</v>
      </c>
      <c r="O89" s="92">
        <v>0</v>
      </c>
      <c r="P89" s="92">
        <v>0</v>
      </c>
      <c r="Q89" s="92">
        <v>0</v>
      </c>
      <c r="R89" s="92">
        <v>0</v>
      </c>
      <c r="S89" s="92">
        <v>0</v>
      </c>
      <c r="T89" s="92">
        <v>0</v>
      </c>
      <c r="U89" s="92">
        <v>0</v>
      </c>
      <c r="V89" s="92">
        <v>0</v>
      </c>
      <c r="W89" s="92">
        <v>0</v>
      </c>
      <c r="X89" s="92">
        <v>0</v>
      </c>
      <c r="Y89" s="92">
        <v>0</v>
      </c>
      <c r="Z89" s="92">
        <v>0</v>
      </c>
      <c r="AA89" s="92">
        <v>0</v>
      </c>
      <c r="AB89" s="92">
        <v>0</v>
      </c>
      <c r="AC89" s="92">
        <v>0</v>
      </c>
      <c r="AD89" s="92">
        <v>0</v>
      </c>
      <c r="AE89" s="92">
        <v>0</v>
      </c>
      <c r="AF89" s="92">
        <v>0</v>
      </c>
      <c r="AG89" s="92">
        <v>0</v>
      </c>
      <c r="AH89" s="92">
        <v>0</v>
      </c>
      <c r="AI89" s="425"/>
      <c r="AJ89" s="425"/>
      <c r="AK89" s="425"/>
      <c r="AL89" s="425"/>
      <c r="AM89" s="425"/>
      <c r="AN89" s="425"/>
      <c r="AO89" s="425"/>
      <c r="AP89" s="425"/>
    </row>
    <row r="90" spans="1:42">
      <c r="A90" s="116" t="s">
        <v>434</v>
      </c>
      <c r="B90" s="117">
        <v>0</v>
      </c>
      <c r="C90" s="117">
        <v>0</v>
      </c>
      <c r="D90" s="117">
        <v>0</v>
      </c>
      <c r="E90" s="117">
        <v>0</v>
      </c>
      <c r="F90" s="117">
        <v>0</v>
      </c>
      <c r="G90" s="117">
        <v>0</v>
      </c>
      <c r="H90" s="117">
        <v>0</v>
      </c>
      <c r="I90" s="117">
        <v>0</v>
      </c>
      <c r="J90" s="117">
        <v>0</v>
      </c>
      <c r="K90" s="117">
        <v>0</v>
      </c>
      <c r="L90" s="117">
        <v>0</v>
      </c>
      <c r="M90" s="117">
        <v>0</v>
      </c>
      <c r="N90" s="117">
        <v>0</v>
      </c>
      <c r="O90" s="117">
        <v>0</v>
      </c>
      <c r="P90" s="117">
        <v>0</v>
      </c>
      <c r="Q90" s="117">
        <v>0</v>
      </c>
      <c r="R90" s="117">
        <v>0</v>
      </c>
      <c r="S90" s="117">
        <v>0</v>
      </c>
      <c r="T90" s="117">
        <v>0</v>
      </c>
      <c r="U90" s="117">
        <v>0</v>
      </c>
      <c r="V90" s="117">
        <v>0</v>
      </c>
      <c r="W90" s="117">
        <v>0</v>
      </c>
      <c r="X90" s="117">
        <v>0</v>
      </c>
      <c r="Y90" s="117">
        <v>0</v>
      </c>
      <c r="Z90" s="117">
        <v>0</v>
      </c>
      <c r="AA90" s="117">
        <v>0</v>
      </c>
      <c r="AB90" s="117">
        <v>0</v>
      </c>
      <c r="AC90" s="117">
        <v>0</v>
      </c>
      <c r="AD90" s="117">
        <v>0</v>
      </c>
      <c r="AE90" s="117">
        <v>0</v>
      </c>
      <c r="AF90" s="117">
        <v>0</v>
      </c>
      <c r="AG90" s="117">
        <v>0</v>
      </c>
      <c r="AH90" s="117">
        <v>0</v>
      </c>
      <c r="AI90" s="346">
        <f>AI88</f>
        <v>0</v>
      </c>
      <c r="AJ90" s="338">
        <f>AI90+(AK90-AI90)/2</f>
        <v>0</v>
      </c>
      <c r="AK90" s="346">
        <f t="shared" ref="AK90:AP90" si="27">AK88</f>
        <v>0</v>
      </c>
      <c r="AL90" s="338">
        <f>AK90+(AN90-AK90)/3</f>
        <v>0</v>
      </c>
      <c r="AM90" s="338">
        <f>AK90+(AN90-AK90)*2/3</f>
        <v>0</v>
      </c>
      <c r="AN90" s="346">
        <f t="shared" si="27"/>
        <v>0</v>
      </c>
      <c r="AO90" s="338">
        <f>AN90+(AP90-AN90)/2</f>
        <v>0</v>
      </c>
      <c r="AP90" s="346">
        <f t="shared" si="27"/>
        <v>0</v>
      </c>
    </row>
    <row r="91" spans="1:42">
      <c r="A91" s="118" t="s">
        <v>435</v>
      </c>
      <c r="B91" s="119">
        <v>0</v>
      </c>
      <c r="C91" s="119">
        <v>0</v>
      </c>
      <c r="D91" s="119">
        <v>0</v>
      </c>
      <c r="E91" s="119">
        <v>0</v>
      </c>
      <c r="F91" s="119">
        <v>0</v>
      </c>
      <c r="G91" s="119">
        <v>0</v>
      </c>
      <c r="H91" s="119">
        <v>0</v>
      </c>
      <c r="I91" s="119">
        <v>0</v>
      </c>
      <c r="J91" s="119">
        <v>0</v>
      </c>
      <c r="K91" s="119">
        <v>9.6517719565068845</v>
      </c>
      <c r="L91" s="119">
        <v>21.535865406489474</v>
      </c>
      <c r="M91" s="119">
        <v>41.728773721239889</v>
      </c>
      <c r="N91" s="119">
        <v>54.538452828469808</v>
      </c>
      <c r="O91" s="119">
        <v>45.766735254108816</v>
      </c>
      <c r="P91" s="119">
        <v>43.98768897036674</v>
      </c>
      <c r="Q91" s="119">
        <v>60.206825541104088</v>
      </c>
      <c r="R91" s="119">
        <v>67.305330212252827</v>
      </c>
      <c r="S91" s="119">
        <v>59.141583942573945</v>
      </c>
      <c r="T91" s="119">
        <v>63.258398384722689</v>
      </c>
      <c r="U91" s="119">
        <v>82.198595250447681</v>
      </c>
      <c r="V91" s="119">
        <v>96.635468801445981</v>
      </c>
      <c r="W91" s="119">
        <v>92.86029325876676</v>
      </c>
      <c r="X91" s="119">
        <v>89.01940919770297</v>
      </c>
      <c r="Y91" s="119">
        <v>90.560968661224237</v>
      </c>
      <c r="Z91" s="119">
        <v>90.484467734181052</v>
      </c>
      <c r="AA91" s="119">
        <v>78.884436656535073</v>
      </c>
      <c r="AB91" s="119">
        <v>76.576428708498653</v>
      </c>
      <c r="AC91" s="119">
        <v>78.527059581514607</v>
      </c>
      <c r="AD91" s="119">
        <v>70.31931046648296</v>
      </c>
      <c r="AE91" s="119">
        <v>81.637419671209912</v>
      </c>
      <c r="AF91" s="119">
        <v>73.958378110233355</v>
      </c>
      <c r="AG91" s="119">
        <v>52.96150826516098</v>
      </c>
      <c r="AH91" s="119">
        <v>62.360101649714288</v>
      </c>
      <c r="AI91" s="347">
        <f>SUM(AI81,AI87,AI90)</f>
        <v>33.772392225254322</v>
      </c>
      <c r="AJ91" s="347">
        <f>SUM(AJ81,AJ87,AJ90)</f>
        <v>28.235386278371173</v>
      </c>
      <c r="AK91" s="347">
        <f t="shared" ref="AK91:AP91" si="28">SUM(AK81,AK87,AK90)</f>
        <v>22.698380331488025</v>
      </c>
      <c r="AL91" s="347">
        <f t="shared" si="28"/>
        <v>20.482939720550721</v>
      </c>
      <c r="AM91" s="347">
        <f t="shared" si="28"/>
        <v>18.267499109613414</v>
      </c>
      <c r="AN91" s="347">
        <f t="shared" si="28"/>
        <v>16.052058498676111</v>
      </c>
      <c r="AO91" s="347">
        <f t="shared" si="28"/>
        <v>14.922375287841971</v>
      </c>
      <c r="AP91" s="347">
        <f t="shared" si="28"/>
        <v>13.792692077007832</v>
      </c>
    </row>
    <row r="92" spans="1:42">
      <c r="A92" s="120"/>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row>
    <row r="93" spans="1:42">
      <c r="A93" s="122" t="s">
        <v>54</v>
      </c>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428" t="s">
        <v>393</v>
      </c>
      <c r="AJ93" s="428"/>
      <c r="AK93" s="428"/>
      <c r="AL93" s="428"/>
      <c r="AM93" s="428"/>
      <c r="AN93" s="428"/>
      <c r="AO93" s="428"/>
      <c r="AP93" s="428"/>
    </row>
    <row r="94" spans="1:42" ht="105.6">
      <c r="A94" s="75" t="s">
        <v>481</v>
      </c>
      <c r="B94" s="76">
        <v>1990</v>
      </c>
      <c r="C94" s="76">
        <v>1991</v>
      </c>
      <c r="D94" s="76">
        <v>1992</v>
      </c>
      <c r="E94" s="76">
        <v>1993</v>
      </c>
      <c r="F94" s="76">
        <v>1994</v>
      </c>
      <c r="G94" s="76">
        <v>1995</v>
      </c>
      <c r="H94" s="76">
        <v>1996</v>
      </c>
      <c r="I94" s="76">
        <v>1997</v>
      </c>
      <c r="J94" s="76">
        <v>1998</v>
      </c>
      <c r="K94" s="76">
        <v>1999</v>
      </c>
      <c r="L94" s="76">
        <v>2000</v>
      </c>
      <c r="M94" s="76">
        <v>2001</v>
      </c>
      <c r="N94" s="76">
        <v>2002</v>
      </c>
      <c r="O94" s="76">
        <v>2003</v>
      </c>
      <c r="P94" s="76">
        <v>2004</v>
      </c>
      <c r="Q94" s="76">
        <v>2005</v>
      </c>
      <c r="R94" s="76">
        <v>2006</v>
      </c>
      <c r="S94" s="76">
        <v>2007</v>
      </c>
      <c r="T94" s="76">
        <v>2008</v>
      </c>
      <c r="U94" s="76">
        <v>2009</v>
      </c>
      <c r="V94" s="76">
        <v>2010</v>
      </c>
      <c r="W94" s="76">
        <v>2011</v>
      </c>
      <c r="X94" s="76">
        <v>2012</v>
      </c>
      <c r="Y94" s="76">
        <v>2013</v>
      </c>
      <c r="Z94" s="76">
        <v>2014</v>
      </c>
      <c r="AA94" s="76">
        <v>2015</v>
      </c>
      <c r="AB94" s="76">
        <v>2016</v>
      </c>
      <c r="AC94" s="76">
        <v>2017</v>
      </c>
      <c r="AD94" s="76">
        <v>2018</v>
      </c>
      <c r="AE94" s="76">
        <v>2019</v>
      </c>
      <c r="AF94" s="76">
        <v>2020</v>
      </c>
      <c r="AG94" s="77">
        <v>2021</v>
      </c>
      <c r="AH94" s="77" t="s">
        <v>395</v>
      </c>
      <c r="AI94" s="76">
        <v>2023</v>
      </c>
      <c r="AJ94" s="152">
        <v>2024</v>
      </c>
      <c r="AK94" s="76">
        <v>2025</v>
      </c>
      <c r="AL94" s="152">
        <v>2026</v>
      </c>
      <c r="AM94" s="152">
        <v>2027</v>
      </c>
      <c r="AN94" s="76">
        <v>2028</v>
      </c>
      <c r="AO94" s="152">
        <v>2029</v>
      </c>
      <c r="AP94" s="76">
        <v>2030</v>
      </c>
    </row>
    <row r="95" spans="1:42">
      <c r="A95" s="100" t="s">
        <v>436</v>
      </c>
      <c r="B95" s="92">
        <v>0</v>
      </c>
      <c r="C95" s="92">
        <v>0</v>
      </c>
      <c r="D95" s="92">
        <v>0</v>
      </c>
      <c r="E95" s="92">
        <v>0</v>
      </c>
      <c r="F95" s="92">
        <v>3.8366493665204806</v>
      </c>
      <c r="G95" s="92">
        <v>13.966346634995809</v>
      </c>
      <c r="H95" s="92">
        <v>27.612972858659816</v>
      </c>
      <c r="I95" s="92">
        <v>44.586841357125614</v>
      </c>
      <c r="J95" s="92">
        <v>70.610879460718536</v>
      </c>
      <c r="K95" s="92">
        <v>113.25926689417673</v>
      </c>
      <c r="L95" s="92">
        <v>166.29121990662077</v>
      </c>
      <c r="M95" s="92">
        <v>224.20127853463265</v>
      </c>
      <c r="N95" s="92">
        <v>287.24852661724969</v>
      </c>
      <c r="O95" s="92">
        <v>368.87448130586176</v>
      </c>
      <c r="P95" s="92">
        <v>452.0742416271334</v>
      </c>
      <c r="Q95" s="92">
        <v>473.886006624873</v>
      </c>
      <c r="R95" s="92">
        <v>623.58392430546132</v>
      </c>
      <c r="S95" s="92">
        <v>733.57298478585642</v>
      </c>
      <c r="T95" s="92">
        <v>850.46992997348684</v>
      </c>
      <c r="U95" s="92">
        <v>882.01936937143876</v>
      </c>
      <c r="V95" s="92">
        <v>1003.3615255745382</v>
      </c>
      <c r="W95" s="92">
        <v>1054.1863925326736</v>
      </c>
      <c r="X95" s="92">
        <v>1128.5811338831209</v>
      </c>
      <c r="Y95" s="92">
        <v>1152.5645275206653</v>
      </c>
      <c r="Z95" s="92">
        <v>1147.9357348505962</v>
      </c>
      <c r="AA95" s="92">
        <v>1064.6679470713018</v>
      </c>
      <c r="AB95" s="92">
        <v>1027.1052646785129</v>
      </c>
      <c r="AC95" s="92">
        <v>917.58443916382532</v>
      </c>
      <c r="AD95" s="92">
        <v>765.12292935922096</v>
      </c>
      <c r="AE95" s="92">
        <v>628.77180753696416</v>
      </c>
      <c r="AF95" s="92">
        <v>524.17059574577172</v>
      </c>
      <c r="AG95" s="92">
        <v>431.46072594551669</v>
      </c>
      <c r="AH95" s="92">
        <v>354.96338553711877</v>
      </c>
      <c r="AI95" s="338">
        <v>420.6889160448369</v>
      </c>
      <c r="AJ95" s="338">
        <f>AI95+(AK95-AI95)/2</f>
        <v>341.11425382126481</v>
      </c>
      <c r="AK95" s="338">
        <v>261.53959159769266</v>
      </c>
      <c r="AL95" s="338">
        <f>AK95+(AN95-AK95)/3</f>
        <v>208.11010945415862</v>
      </c>
      <c r="AM95" s="338">
        <f>AK95+(AN95-AK95)*2/3</f>
        <v>154.68062731062457</v>
      </c>
      <c r="AN95" s="338">
        <v>101.25114516709056</v>
      </c>
      <c r="AO95" s="338">
        <f>AN95+(AP95-AN95)/2</f>
        <v>68.69570942857257</v>
      </c>
      <c r="AP95" s="338">
        <v>36.14027369005457</v>
      </c>
    </row>
    <row r="96" spans="1:42">
      <c r="A96" s="100" t="s">
        <v>437</v>
      </c>
      <c r="B96" s="92">
        <v>0</v>
      </c>
      <c r="C96" s="92">
        <v>0</v>
      </c>
      <c r="D96" s="92">
        <v>0</v>
      </c>
      <c r="E96" s="92">
        <v>0</v>
      </c>
      <c r="F96" s="92">
        <v>18.460077067115328</v>
      </c>
      <c r="G96" s="92">
        <v>58.422448688753938</v>
      </c>
      <c r="H96" s="92">
        <v>104.7039303801337</v>
      </c>
      <c r="I96" s="92">
        <v>157.62325422491969</v>
      </c>
      <c r="J96" s="92">
        <v>231.27365159855316</v>
      </c>
      <c r="K96" s="92">
        <v>354.11478299795687</v>
      </c>
      <c r="L96" s="92">
        <v>483.88574986268168</v>
      </c>
      <c r="M96" s="92">
        <v>582.53931518501577</v>
      </c>
      <c r="N96" s="92">
        <v>677.49554494761878</v>
      </c>
      <c r="O96" s="92">
        <v>775.95522814713479</v>
      </c>
      <c r="P96" s="92">
        <v>871.69797404150961</v>
      </c>
      <c r="Q96" s="92">
        <v>829.72655776885324</v>
      </c>
      <c r="R96" s="92">
        <v>945.86511382941796</v>
      </c>
      <c r="S96" s="92">
        <v>981.70455974137315</v>
      </c>
      <c r="T96" s="92">
        <v>1014.4935768059908</v>
      </c>
      <c r="U96" s="92">
        <v>961.36140564073071</v>
      </c>
      <c r="V96" s="92">
        <v>989.02543073053141</v>
      </c>
      <c r="W96" s="92">
        <v>958.07266500370179</v>
      </c>
      <c r="X96" s="92">
        <v>914.44797148627981</v>
      </c>
      <c r="Y96" s="92">
        <v>899.5419790917864</v>
      </c>
      <c r="Z96" s="92">
        <v>913.29851299432585</v>
      </c>
      <c r="AA96" s="92">
        <v>852.31861401179879</v>
      </c>
      <c r="AB96" s="92">
        <v>894.46255444443068</v>
      </c>
      <c r="AC96" s="92">
        <v>843.07346863986243</v>
      </c>
      <c r="AD96" s="92">
        <v>795.47976691442409</v>
      </c>
      <c r="AE96" s="92">
        <v>744.87562779800783</v>
      </c>
      <c r="AF96" s="92">
        <v>662.3867174052275</v>
      </c>
      <c r="AG96" s="92">
        <v>617.9495255795016</v>
      </c>
      <c r="AH96" s="92">
        <v>529.00326226418576</v>
      </c>
      <c r="AI96" s="338">
        <v>396.16914042566594</v>
      </c>
      <c r="AJ96" s="338">
        <f t="shared" ref="AJ96:AJ99" si="29">AI96+(AK96-AI96)/2</f>
        <v>316.89751431322816</v>
      </c>
      <c r="AK96" s="338">
        <v>237.62588820079034</v>
      </c>
      <c r="AL96" s="338">
        <f t="shared" ref="AL96:AL99" si="30">AK96+(AN96-AK96)/3</f>
        <v>186.32356681255516</v>
      </c>
      <c r="AM96" s="338">
        <f t="shared" ref="AM96:AM99" si="31">AK96+(AN96-AK96)*2/3</f>
        <v>135.02124542431997</v>
      </c>
      <c r="AN96" s="338">
        <v>83.718924036084786</v>
      </c>
      <c r="AO96" s="338">
        <f t="shared" ref="AO96:AO99" si="32">AN96+(AP96-AN96)/2</f>
        <v>55.401980629442008</v>
      </c>
      <c r="AP96" s="338">
        <v>27.085037222799222</v>
      </c>
    </row>
    <row r="97" spans="1:42">
      <c r="A97" s="100" t="s">
        <v>438</v>
      </c>
      <c r="B97" s="92">
        <v>0</v>
      </c>
      <c r="C97" s="92">
        <v>0</v>
      </c>
      <c r="D97" s="92">
        <v>0</v>
      </c>
      <c r="E97" s="92">
        <v>0</v>
      </c>
      <c r="F97" s="92">
        <v>1.2050132829684958E-2</v>
      </c>
      <c r="G97" s="92">
        <v>3.0901283931549887E-2</v>
      </c>
      <c r="H97" s="92">
        <v>0.10404819963737642</v>
      </c>
      <c r="I97" s="92">
        <v>0.33851754109416649</v>
      </c>
      <c r="J97" s="92">
        <v>0.80621135513201636</v>
      </c>
      <c r="K97" s="92">
        <v>1.645474524402331</v>
      </c>
      <c r="L97" s="92">
        <v>4.8798102408218833</v>
      </c>
      <c r="M97" s="92">
        <v>3.3357024489619609</v>
      </c>
      <c r="N97" s="92">
        <v>3.7591531213806082</v>
      </c>
      <c r="O97" s="92">
        <v>3.1003056778275528</v>
      </c>
      <c r="P97" s="92">
        <v>3.3485764360603709</v>
      </c>
      <c r="Q97" s="92">
        <v>4.4716469381735688</v>
      </c>
      <c r="R97" s="92">
        <v>5.1917354255872699</v>
      </c>
      <c r="S97" s="92">
        <v>4.7036988745566291</v>
      </c>
      <c r="T97" s="92">
        <v>4.6749264840372629</v>
      </c>
      <c r="U97" s="92">
        <v>4.1934875427634317</v>
      </c>
      <c r="V97" s="92">
        <v>5.4482323148868925</v>
      </c>
      <c r="W97" s="92">
        <v>8.0721832135097209</v>
      </c>
      <c r="X97" s="92">
        <v>6.5286018315213399</v>
      </c>
      <c r="Y97" s="92">
        <v>5.8787540410072863</v>
      </c>
      <c r="Z97" s="92">
        <v>3.8176568555379764</v>
      </c>
      <c r="AA97" s="92">
        <v>3.02269727160362</v>
      </c>
      <c r="AB97" s="92">
        <v>2.5484262367352581</v>
      </c>
      <c r="AC97" s="92">
        <v>1.9177318855314589</v>
      </c>
      <c r="AD97" s="92">
        <v>1.4017231090350104</v>
      </c>
      <c r="AE97" s="92">
        <v>0.99240592181297216</v>
      </c>
      <c r="AF97" s="92">
        <v>0.65225010625080981</v>
      </c>
      <c r="AG97" s="92">
        <v>0.94232155231511938</v>
      </c>
      <c r="AH97" s="92">
        <v>1.1357562994194859</v>
      </c>
      <c r="AI97" s="338">
        <v>9.9328330527040389</v>
      </c>
      <c r="AJ97" s="338">
        <f t="shared" si="29"/>
        <v>8.8483420304032219</v>
      </c>
      <c r="AK97" s="338">
        <v>7.7638510081024048</v>
      </c>
      <c r="AL97" s="338">
        <f t="shared" si="30"/>
        <v>5.6248237008654307</v>
      </c>
      <c r="AM97" s="338">
        <f t="shared" si="31"/>
        <v>3.4857963936284566</v>
      </c>
      <c r="AN97" s="338">
        <v>1.346769086391483</v>
      </c>
      <c r="AO97" s="338">
        <f t="shared" si="32"/>
        <v>0.7263865314353275</v>
      </c>
      <c r="AP97" s="338">
        <v>0.10600397647917198</v>
      </c>
    </row>
    <row r="98" spans="1:42">
      <c r="A98" s="100" t="s">
        <v>439</v>
      </c>
      <c r="B98" s="92">
        <v>0</v>
      </c>
      <c r="C98" s="92">
        <v>0</v>
      </c>
      <c r="D98" s="92">
        <v>0</v>
      </c>
      <c r="E98" s="92">
        <v>0</v>
      </c>
      <c r="F98" s="92">
        <v>5.7686848780846975E-5</v>
      </c>
      <c r="G98" s="92">
        <v>9.5943952109007262E-5</v>
      </c>
      <c r="H98" s="92">
        <v>1.9554773168162795E-4</v>
      </c>
      <c r="I98" s="92">
        <v>2.3586763935675958E-4</v>
      </c>
      <c r="J98" s="92">
        <v>3.2947605081597056E-4</v>
      </c>
      <c r="K98" s="92">
        <v>4.8204466788996772E-4</v>
      </c>
      <c r="L98" s="92">
        <v>3.1610715900493923E-3</v>
      </c>
      <c r="M98" s="92">
        <v>1.6877374445527515E-2</v>
      </c>
      <c r="N98" s="92">
        <v>4.3581706962159357E-2</v>
      </c>
      <c r="O98" s="92">
        <v>4.1417591501327893E-2</v>
      </c>
      <c r="P98" s="92">
        <v>5.3609690697225314E-2</v>
      </c>
      <c r="Q98" s="92">
        <v>0.11128556803348183</v>
      </c>
      <c r="R98" s="92">
        <v>0.17689124408732013</v>
      </c>
      <c r="S98" s="92">
        <v>0.15427937702302652</v>
      </c>
      <c r="T98" s="92">
        <v>0.2095057835811992</v>
      </c>
      <c r="U98" s="92">
        <v>0.20530106101684809</v>
      </c>
      <c r="V98" s="92">
        <v>0.23236413950069498</v>
      </c>
      <c r="W98" s="92">
        <v>0.77276217244579859</v>
      </c>
      <c r="X98" s="92">
        <v>0.86077231001591992</v>
      </c>
      <c r="Y98" s="92">
        <v>0.94294696885964957</v>
      </c>
      <c r="Z98" s="92">
        <v>0.49259283328609815</v>
      </c>
      <c r="AA98" s="92">
        <v>0.44162083160474075</v>
      </c>
      <c r="AB98" s="92">
        <v>0.29380294698734005</v>
      </c>
      <c r="AC98" s="92">
        <v>0.17931789848786106</v>
      </c>
      <c r="AD98" s="92">
        <v>0.1260664864147418</v>
      </c>
      <c r="AE98" s="92">
        <v>0.10265143794157876</v>
      </c>
      <c r="AF98" s="92">
        <v>8.4263165684953692E-2</v>
      </c>
      <c r="AG98" s="92">
        <v>0.13399434503675656</v>
      </c>
      <c r="AH98" s="92">
        <v>3.0978324032400555E-3</v>
      </c>
      <c r="AI98" s="338">
        <v>0.26128826589354448</v>
      </c>
      <c r="AJ98" s="338">
        <f t="shared" si="29"/>
        <v>0.21355667232309486</v>
      </c>
      <c r="AK98" s="338">
        <v>0.16582507875264524</v>
      </c>
      <c r="AL98" s="338">
        <f t="shared" si="30"/>
        <v>0.13039864302439402</v>
      </c>
      <c r="AM98" s="338">
        <f t="shared" si="31"/>
        <v>9.4972207296142808E-2</v>
      </c>
      <c r="AN98" s="338">
        <v>5.9545771567891585E-2</v>
      </c>
      <c r="AO98" s="338">
        <f t="shared" si="32"/>
        <v>3.9531996573327677E-2</v>
      </c>
      <c r="AP98" s="338">
        <v>1.9518221578763775E-2</v>
      </c>
    </row>
    <row r="99" spans="1:42">
      <c r="A99" s="100" t="s">
        <v>440</v>
      </c>
      <c r="B99" s="92">
        <v>0</v>
      </c>
      <c r="C99" s="92">
        <v>0</v>
      </c>
      <c r="D99" s="92">
        <v>0</v>
      </c>
      <c r="E99" s="92">
        <v>0</v>
      </c>
      <c r="F99" s="92">
        <v>0</v>
      </c>
      <c r="G99" s="92">
        <v>0</v>
      </c>
      <c r="H99" s="92">
        <v>0</v>
      </c>
      <c r="I99" s="92">
        <v>0</v>
      </c>
      <c r="J99" s="92">
        <v>0</v>
      </c>
      <c r="K99" s="92">
        <v>0</v>
      </c>
      <c r="L99" s="92">
        <v>0</v>
      </c>
      <c r="M99" s="92">
        <v>0</v>
      </c>
      <c r="N99" s="92">
        <v>0</v>
      </c>
      <c r="O99" s="92">
        <v>0</v>
      </c>
      <c r="P99" s="92">
        <v>0</v>
      </c>
      <c r="Q99" s="92">
        <v>0</v>
      </c>
      <c r="R99" s="92">
        <v>0</v>
      </c>
      <c r="S99" s="92">
        <v>0</v>
      </c>
      <c r="T99" s="92">
        <v>0</v>
      </c>
      <c r="U99" s="92">
        <v>0</v>
      </c>
      <c r="V99" s="92">
        <v>0</v>
      </c>
      <c r="W99" s="92">
        <v>0</v>
      </c>
      <c r="X99" s="92">
        <v>0</v>
      </c>
      <c r="Y99" s="92">
        <v>0</v>
      </c>
      <c r="Z99" s="92">
        <v>0</v>
      </c>
      <c r="AA99" s="92">
        <v>0</v>
      </c>
      <c r="AB99" s="92">
        <v>0</v>
      </c>
      <c r="AC99" s="92">
        <v>0</v>
      </c>
      <c r="AD99" s="92">
        <v>0</v>
      </c>
      <c r="AE99" s="92">
        <v>0</v>
      </c>
      <c r="AF99" s="92">
        <v>0</v>
      </c>
      <c r="AG99" s="92">
        <v>0</v>
      </c>
      <c r="AH99" s="92">
        <v>0</v>
      </c>
      <c r="AI99" s="338">
        <v>0</v>
      </c>
      <c r="AJ99" s="338">
        <f t="shared" si="29"/>
        <v>0</v>
      </c>
      <c r="AK99" s="338">
        <v>0</v>
      </c>
      <c r="AL99" s="338">
        <f t="shared" si="30"/>
        <v>0</v>
      </c>
      <c r="AM99" s="338">
        <f t="shared" si="31"/>
        <v>0</v>
      </c>
      <c r="AN99" s="338">
        <v>0</v>
      </c>
      <c r="AO99" s="338">
        <f t="shared" si="32"/>
        <v>0</v>
      </c>
      <c r="AP99" s="338">
        <v>0</v>
      </c>
    </row>
    <row r="100" spans="1:42">
      <c r="A100" s="100" t="s">
        <v>441</v>
      </c>
      <c r="B100" s="92">
        <v>0</v>
      </c>
      <c r="C100" s="92">
        <v>0</v>
      </c>
      <c r="D100" s="92">
        <v>0</v>
      </c>
      <c r="E100" s="92">
        <v>0</v>
      </c>
      <c r="F100" s="92">
        <v>2.7778054267796053</v>
      </c>
      <c r="G100" s="92">
        <v>9.1556844259812813</v>
      </c>
      <c r="H100" s="92">
        <v>17.34305170985974</v>
      </c>
      <c r="I100" s="92">
        <v>27.62056053139197</v>
      </c>
      <c r="J100" s="92">
        <v>40.714745217100301</v>
      </c>
      <c r="K100" s="92">
        <v>60.817132203261288</v>
      </c>
      <c r="L100" s="92">
        <v>83.819408866992518</v>
      </c>
      <c r="M100" s="92">
        <v>104.85907048789383</v>
      </c>
      <c r="N100" s="92">
        <v>128.57414100434781</v>
      </c>
      <c r="O100" s="92">
        <v>155.66315551867365</v>
      </c>
      <c r="P100" s="92">
        <v>180.88857788458054</v>
      </c>
      <c r="Q100" s="92">
        <v>186.61337555061374</v>
      </c>
      <c r="R100" s="92">
        <v>222.46982615313055</v>
      </c>
      <c r="S100" s="92">
        <v>241.51415055780674</v>
      </c>
      <c r="T100" s="92">
        <v>266.39321141739146</v>
      </c>
      <c r="U100" s="92">
        <v>265.43269343992625</v>
      </c>
      <c r="V100" s="92">
        <v>302.15122895846014</v>
      </c>
      <c r="W100" s="92">
        <v>319.44894960401859</v>
      </c>
      <c r="X100" s="92">
        <v>324.17942828076917</v>
      </c>
      <c r="Y100" s="92">
        <v>332.23643422489613</v>
      </c>
      <c r="Z100" s="92">
        <v>333.26293732137702</v>
      </c>
      <c r="AA100" s="92">
        <v>313.91405645288017</v>
      </c>
      <c r="AB100" s="92">
        <v>314.74081183754095</v>
      </c>
      <c r="AC100" s="92">
        <v>287.62449525816396</v>
      </c>
      <c r="AD100" s="92">
        <v>260.86552261454693</v>
      </c>
      <c r="AE100" s="92">
        <v>225.47825231449289</v>
      </c>
      <c r="AF100" s="92">
        <v>206.53326112315423</v>
      </c>
      <c r="AG100" s="92">
        <v>178.4430732120922</v>
      </c>
      <c r="AH100" s="92">
        <v>156.61623316630323</v>
      </c>
      <c r="AI100" s="338">
        <v>138.18939695020393</v>
      </c>
      <c r="AJ100" s="338">
        <f>AI100+(AK100-AI100)/2</f>
        <v>114.16785007046309</v>
      </c>
      <c r="AK100" s="338">
        <v>90.14630319072225</v>
      </c>
      <c r="AL100" s="338">
        <f>AK100+(AN100-AK100)/3</f>
        <v>73.920101567276049</v>
      </c>
      <c r="AM100" s="338">
        <f>AK100+(AN100-AK100)*2/3</f>
        <v>57.693899943829855</v>
      </c>
      <c r="AN100" s="338">
        <v>41.467698320383661</v>
      </c>
      <c r="AO100" s="338">
        <f>AN100+(AP100-AN100)/2</f>
        <v>31.81975136217909</v>
      </c>
      <c r="AP100" s="338">
        <v>22.171804403974516</v>
      </c>
    </row>
    <row r="101" spans="1:42">
      <c r="A101" s="100" t="s">
        <v>442</v>
      </c>
      <c r="B101" s="92">
        <v>0</v>
      </c>
      <c r="C101" s="92">
        <v>0</v>
      </c>
      <c r="D101" s="92">
        <v>0</v>
      </c>
      <c r="E101" s="92">
        <v>0</v>
      </c>
      <c r="F101" s="92">
        <v>3.3419672946035028</v>
      </c>
      <c r="G101" s="92">
        <v>9.2156529184826628</v>
      </c>
      <c r="H101" s="92">
        <v>16.443514727443773</v>
      </c>
      <c r="I101" s="92">
        <v>24.459761023775453</v>
      </c>
      <c r="J101" s="92">
        <v>35.106065446032567</v>
      </c>
      <c r="K101" s="92">
        <v>51.032283792478538</v>
      </c>
      <c r="L101" s="92">
        <v>62.706724652431923</v>
      </c>
      <c r="M101" s="92">
        <v>74.169866540132219</v>
      </c>
      <c r="N101" s="92">
        <v>84.226018559866105</v>
      </c>
      <c r="O101" s="92">
        <v>95.641382240561072</v>
      </c>
      <c r="P101" s="92">
        <v>111.10378542241308</v>
      </c>
      <c r="Q101" s="92">
        <v>111.17021884431301</v>
      </c>
      <c r="R101" s="92">
        <v>150.78426432261338</v>
      </c>
      <c r="S101" s="92">
        <v>173.91895685943751</v>
      </c>
      <c r="T101" s="92">
        <v>167.19958223471428</v>
      </c>
      <c r="U101" s="92">
        <v>172.01597185537699</v>
      </c>
      <c r="V101" s="92">
        <v>176.86823209949679</v>
      </c>
      <c r="W101" s="92">
        <v>178.61937061851654</v>
      </c>
      <c r="X101" s="92">
        <v>199.77930296105632</v>
      </c>
      <c r="Y101" s="92">
        <v>213.46672216024859</v>
      </c>
      <c r="Z101" s="92">
        <v>194.50784907924475</v>
      </c>
      <c r="AA101" s="92">
        <v>213.25431102422939</v>
      </c>
      <c r="AB101" s="92">
        <v>169.99608736573475</v>
      </c>
      <c r="AC101" s="92">
        <v>197.55759435868856</v>
      </c>
      <c r="AD101" s="92">
        <v>168.36523134057694</v>
      </c>
      <c r="AE101" s="92">
        <v>155.68269216951686</v>
      </c>
      <c r="AF101" s="92">
        <v>144.87621257605741</v>
      </c>
      <c r="AG101" s="92">
        <v>141.36793367848222</v>
      </c>
      <c r="AH101" s="92">
        <v>124.11122841827454</v>
      </c>
      <c r="AI101" s="338">
        <v>72.571427288073039</v>
      </c>
      <c r="AJ101" s="338">
        <f t="shared" ref="AJ101:AJ107" si="33">AI101+(AK101-AI101)/2</f>
        <v>60.167759756762848</v>
      </c>
      <c r="AK101" s="338">
        <v>47.764092225452657</v>
      </c>
      <c r="AL101" s="338">
        <f t="shared" ref="AL101:AL107" si="34">AK101+(AN101-AK101)/3</f>
        <v>39.518492886625914</v>
      </c>
      <c r="AM101" s="338">
        <f t="shared" ref="AM101:AM107" si="35">AK101+(AN101-AK101)*2/3</f>
        <v>31.272893547799168</v>
      </c>
      <c r="AN101" s="338">
        <v>23.027294208972421</v>
      </c>
      <c r="AO101" s="338">
        <f t="shared" ref="AO101:AO107" si="36">AN101+(AP101-AN101)/2</f>
        <v>17.924233132450855</v>
      </c>
      <c r="AP101" s="338">
        <v>12.82117205592929</v>
      </c>
    </row>
    <row r="102" spans="1:42">
      <c r="A102" s="100" t="s">
        <v>443</v>
      </c>
      <c r="B102" s="92">
        <v>0</v>
      </c>
      <c r="C102" s="92">
        <v>0</v>
      </c>
      <c r="D102" s="92">
        <v>0</v>
      </c>
      <c r="E102" s="92">
        <v>0</v>
      </c>
      <c r="F102" s="92">
        <v>3.9632657323045363E-2</v>
      </c>
      <c r="G102" s="92">
        <v>0.10806652565141413</v>
      </c>
      <c r="H102" s="92">
        <v>0.33558967718904814</v>
      </c>
      <c r="I102" s="92">
        <v>0.98541981792421185</v>
      </c>
      <c r="J102" s="92">
        <v>2.5569347269663463</v>
      </c>
      <c r="K102" s="92">
        <v>5.0683771168305736</v>
      </c>
      <c r="L102" s="92">
        <v>4.5414923712988271</v>
      </c>
      <c r="M102" s="92">
        <v>8.2822916059742369</v>
      </c>
      <c r="N102" s="92">
        <v>8.7474657618684493</v>
      </c>
      <c r="O102" s="92">
        <v>10.337234422353198</v>
      </c>
      <c r="P102" s="92">
        <v>11.076637488504222</v>
      </c>
      <c r="Q102" s="92">
        <v>9.0146628920750409</v>
      </c>
      <c r="R102" s="92">
        <v>10.214265811413195</v>
      </c>
      <c r="S102" s="92">
        <v>10.83758174756286</v>
      </c>
      <c r="T102" s="92">
        <v>11.978046902528005</v>
      </c>
      <c r="U102" s="92">
        <v>10.512484347362786</v>
      </c>
      <c r="V102" s="92">
        <v>13.321662010310149</v>
      </c>
      <c r="W102" s="92">
        <v>12.959702015870288</v>
      </c>
      <c r="X102" s="92">
        <v>13.40884634656785</v>
      </c>
      <c r="Y102" s="92">
        <v>11.952727553075896</v>
      </c>
      <c r="Z102" s="92">
        <v>11.910050017938332</v>
      </c>
      <c r="AA102" s="92">
        <v>9.7927515269468337</v>
      </c>
      <c r="AB102" s="92">
        <v>8.656199581344989</v>
      </c>
      <c r="AC102" s="92">
        <v>7.1094977089770097</v>
      </c>
      <c r="AD102" s="92">
        <v>5.8916522059077439</v>
      </c>
      <c r="AE102" s="92">
        <v>4.7742724245359751</v>
      </c>
      <c r="AF102" s="92">
        <v>3.4707905468591957</v>
      </c>
      <c r="AG102" s="92">
        <v>3.3123903683446074</v>
      </c>
      <c r="AH102" s="92">
        <v>4.0916133013438927</v>
      </c>
      <c r="AI102" s="338">
        <v>0</v>
      </c>
      <c r="AJ102" s="338">
        <f t="shared" si="33"/>
        <v>0</v>
      </c>
      <c r="AK102" s="338">
        <v>0</v>
      </c>
      <c r="AL102" s="338">
        <f t="shared" si="34"/>
        <v>0</v>
      </c>
      <c r="AM102" s="338">
        <f t="shared" si="35"/>
        <v>0</v>
      </c>
      <c r="AN102" s="338">
        <v>0</v>
      </c>
      <c r="AO102" s="338">
        <f t="shared" si="36"/>
        <v>0</v>
      </c>
      <c r="AP102" s="338">
        <v>0</v>
      </c>
    </row>
    <row r="103" spans="1:42">
      <c r="A103" s="100" t="s">
        <v>444</v>
      </c>
      <c r="B103" s="92">
        <v>0</v>
      </c>
      <c r="C103" s="92">
        <v>0</v>
      </c>
      <c r="D103" s="92">
        <v>0</v>
      </c>
      <c r="E103" s="92">
        <v>0</v>
      </c>
      <c r="F103" s="92">
        <v>1.897756970466334E-4</v>
      </c>
      <c r="G103" s="92">
        <v>3.3524541604153349E-4</v>
      </c>
      <c r="H103" s="92">
        <v>6.305493282544399E-4</v>
      </c>
      <c r="I103" s="92">
        <v>6.8659663086519107E-4</v>
      </c>
      <c r="J103" s="92">
        <v>1.0450220766603578E-3</v>
      </c>
      <c r="K103" s="92">
        <v>1.4847407811953359E-3</v>
      </c>
      <c r="L103" s="92">
        <v>2.9419417151103616E-3</v>
      </c>
      <c r="M103" s="92">
        <v>4.1906041737607369E-2</v>
      </c>
      <c r="N103" s="92">
        <v>0.10141769820526535</v>
      </c>
      <c r="O103" s="92">
        <v>0.13809714171748974</v>
      </c>
      <c r="P103" s="92">
        <v>0.17733506664441628</v>
      </c>
      <c r="Q103" s="92">
        <v>0.22434953531993465</v>
      </c>
      <c r="R103" s="92">
        <v>0.34803430294025856</v>
      </c>
      <c r="S103" s="92">
        <v>0.35550715397104254</v>
      </c>
      <c r="T103" s="92">
        <v>0.53681813908688392</v>
      </c>
      <c r="U103" s="92">
        <v>0.51467778681903298</v>
      </c>
      <c r="V103" s="92">
        <v>0.56816503930652529</v>
      </c>
      <c r="W103" s="92">
        <v>1.240725850347516</v>
      </c>
      <c r="X103" s="92">
        <v>1.7679181709314626</v>
      </c>
      <c r="Y103" s="92">
        <v>1.9171539855243553</v>
      </c>
      <c r="Z103" s="92">
        <v>1.5368192663118088</v>
      </c>
      <c r="AA103" s="92">
        <v>1.4307495594134454</v>
      </c>
      <c r="AB103" s="92">
        <v>0.9979864294905082</v>
      </c>
      <c r="AC103" s="92">
        <v>0.66481849045683294</v>
      </c>
      <c r="AD103" s="92">
        <v>0.52979684734737553</v>
      </c>
      <c r="AE103" s="92">
        <v>0.4938221543501668</v>
      </c>
      <c r="AF103" s="92">
        <v>0.44834942136711997</v>
      </c>
      <c r="AG103" s="92">
        <v>0.47100695073693361</v>
      </c>
      <c r="AH103" s="92">
        <v>1.1577999086775708E-2</v>
      </c>
      <c r="AI103" s="338">
        <v>0</v>
      </c>
      <c r="AJ103" s="338">
        <f t="shared" si="33"/>
        <v>0</v>
      </c>
      <c r="AK103" s="338">
        <v>0</v>
      </c>
      <c r="AL103" s="338">
        <f t="shared" si="34"/>
        <v>0</v>
      </c>
      <c r="AM103" s="338">
        <f t="shared" si="35"/>
        <v>0</v>
      </c>
      <c r="AN103" s="338">
        <v>0</v>
      </c>
      <c r="AO103" s="338">
        <f t="shared" si="36"/>
        <v>0</v>
      </c>
      <c r="AP103" s="338">
        <v>0</v>
      </c>
    </row>
    <row r="104" spans="1:42">
      <c r="A104" s="100" t="s">
        <v>445</v>
      </c>
      <c r="B104" s="92">
        <v>0</v>
      </c>
      <c r="C104" s="92">
        <v>0</v>
      </c>
      <c r="D104" s="92">
        <v>0</v>
      </c>
      <c r="E104" s="92">
        <v>0</v>
      </c>
      <c r="F104" s="92">
        <v>0</v>
      </c>
      <c r="G104" s="92">
        <v>0</v>
      </c>
      <c r="H104" s="92">
        <v>0</v>
      </c>
      <c r="I104" s="92">
        <v>0</v>
      </c>
      <c r="J104" s="92">
        <v>0</v>
      </c>
      <c r="K104" s="92">
        <v>0</v>
      </c>
      <c r="L104" s="92">
        <v>0</v>
      </c>
      <c r="M104" s="92">
        <v>0</v>
      </c>
      <c r="N104" s="92">
        <v>0</v>
      </c>
      <c r="O104" s="92">
        <v>0</v>
      </c>
      <c r="P104" s="92">
        <v>0</v>
      </c>
      <c r="Q104" s="92">
        <v>0</v>
      </c>
      <c r="R104" s="92">
        <v>0</v>
      </c>
      <c r="S104" s="92">
        <v>0</v>
      </c>
      <c r="T104" s="92">
        <v>0</v>
      </c>
      <c r="U104" s="92">
        <v>0</v>
      </c>
      <c r="V104" s="92">
        <v>0</v>
      </c>
      <c r="W104" s="92">
        <v>0</v>
      </c>
      <c r="X104" s="92">
        <v>0</v>
      </c>
      <c r="Y104" s="92">
        <v>0</v>
      </c>
      <c r="Z104" s="92">
        <v>0</v>
      </c>
      <c r="AA104" s="92">
        <v>0</v>
      </c>
      <c r="AB104" s="92">
        <v>0</v>
      </c>
      <c r="AC104" s="92">
        <v>0</v>
      </c>
      <c r="AD104" s="92">
        <v>0</v>
      </c>
      <c r="AE104" s="92">
        <v>0</v>
      </c>
      <c r="AF104" s="92">
        <v>0</v>
      </c>
      <c r="AG104" s="92">
        <v>0</v>
      </c>
      <c r="AH104" s="92">
        <v>0</v>
      </c>
      <c r="AI104" s="338">
        <v>0</v>
      </c>
      <c r="AJ104" s="338">
        <f t="shared" si="33"/>
        <v>0</v>
      </c>
      <c r="AK104" s="338">
        <v>0</v>
      </c>
      <c r="AL104" s="338">
        <f t="shared" si="34"/>
        <v>0</v>
      </c>
      <c r="AM104" s="338">
        <f t="shared" si="35"/>
        <v>0</v>
      </c>
      <c r="AN104" s="338">
        <v>0</v>
      </c>
      <c r="AO104" s="338">
        <f t="shared" si="36"/>
        <v>0</v>
      </c>
      <c r="AP104" s="338">
        <v>0</v>
      </c>
    </row>
    <row r="105" spans="1:42" ht="36">
      <c r="A105" s="100" t="s">
        <v>446</v>
      </c>
      <c r="B105" s="92">
        <v>0</v>
      </c>
      <c r="C105" s="92">
        <v>0</v>
      </c>
      <c r="D105" s="92">
        <v>0</v>
      </c>
      <c r="E105" s="92">
        <v>0.29337282612128684</v>
      </c>
      <c r="F105" s="92">
        <v>1.0869898062269403</v>
      </c>
      <c r="G105" s="92">
        <v>6.0947506695934388</v>
      </c>
      <c r="H105" s="92">
        <v>14.480478649462901</v>
      </c>
      <c r="I105" s="92">
        <v>26.197613044265026</v>
      </c>
      <c r="J105" s="92">
        <v>42.065935850285008</v>
      </c>
      <c r="K105" s="92">
        <v>64.084497819435825</v>
      </c>
      <c r="L105" s="92">
        <v>91.346470107062402</v>
      </c>
      <c r="M105" s="92">
        <v>119.78786444346839</v>
      </c>
      <c r="N105" s="92">
        <v>147.64097418286391</v>
      </c>
      <c r="O105" s="92">
        <v>181.2143027283249</v>
      </c>
      <c r="P105" s="92">
        <v>209.30573168934015</v>
      </c>
      <c r="Q105" s="92">
        <v>239.82692757386093</v>
      </c>
      <c r="R105" s="92">
        <v>267.33214408444508</v>
      </c>
      <c r="S105" s="92">
        <v>292.66896068126368</v>
      </c>
      <c r="T105" s="92">
        <v>314.72619719694336</v>
      </c>
      <c r="U105" s="92">
        <v>319.92651932095674</v>
      </c>
      <c r="V105" s="92">
        <v>320.57126042737872</v>
      </c>
      <c r="W105" s="92">
        <v>322.91753647897201</v>
      </c>
      <c r="X105" s="92">
        <v>323.03598818162783</v>
      </c>
      <c r="Y105" s="92">
        <v>320.11884077290688</v>
      </c>
      <c r="Z105" s="92">
        <v>317.01655306175024</v>
      </c>
      <c r="AA105" s="92">
        <v>312.99100562918528</v>
      </c>
      <c r="AB105" s="92">
        <v>304.29265924799432</v>
      </c>
      <c r="AC105" s="92">
        <v>290.35169068961369</v>
      </c>
      <c r="AD105" s="92">
        <v>283.37002294825049</v>
      </c>
      <c r="AE105" s="92">
        <v>274.40381236032255</v>
      </c>
      <c r="AF105" s="92">
        <v>255.18446816299371</v>
      </c>
      <c r="AG105" s="92">
        <v>238.52500079218294</v>
      </c>
      <c r="AH105" s="92">
        <v>232.13603327182616</v>
      </c>
      <c r="AI105" s="348">
        <v>267.36531616737591</v>
      </c>
      <c r="AJ105" s="338">
        <f t="shared" si="33"/>
        <v>258.86045283028704</v>
      </c>
      <c r="AK105" s="348">
        <v>250.35558949319812</v>
      </c>
      <c r="AL105" s="338">
        <f t="shared" si="34"/>
        <v>240.03852261841274</v>
      </c>
      <c r="AM105" s="338">
        <f t="shared" si="35"/>
        <v>229.72145574362733</v>
      </c>
      <c r="AN105" s="348">
        <v>219.40438886884195</v>
      </c>
      <c r="AO105" s="338">
        <f t="shared" si="36"/>
        <v>201.25449510432517</v>
      </c>
      <c r="AP105" s="348">
        <v>183.1046013398084</v>
      </c>
    </row>
    <row r="106" spans="1:42" ht="36">
      <c r="A106" s="100" t="s">
        <v>447</v>
      </c>
      <c r="B106" s="92">
        <v>0</v>
      </c>
      <c r="C106" s="92">
        <v>0</v>
      </c>
      <c r="D106" s="92">
        <v>0</v>
      </c>
      <c r="E106" s="92">
        <v>0</v>
      </c>
      <c r="F106" s="92">
        <v>0</v>
      </c>
      <c r="G106" s="92">
        <v>0</v>
      </c>
      <c r="H106" s="92">
        <v>0</v>
      </c>
      <c r="I106" s="92">
        <v>0</v>
      </c>
      <c r="J106" s="92">
        <v>0</v>
      </c>
      <c r="K106" s="92">
        <v>0</v>
      </c>
      <c r="L106" s="92">
        <v>0</v>
      </c>
      <c r="M106" s="92">
        <v>0</v>
      </c>
      <c r="N106" s="92">
        <v>0</v>
      </c>
      <c r="O106" s="92">
        <v>0</v>
      </c>
      <c r="P106" s="92">
        <v>0</v>
      </c>
      <c r="Q106" s="92">
        <v>0</v>
      </c>
      <c r="R106" s="92">
        <v>0</v>
      </c>
      <c r="S106" s="92">
        <v>0</v>
      </c>
      <c r="T106" s="92">
        <v>0</v>
      </c>
      <c r="U106" s="92">
        <v>0</v>
      </c>
      <c r="V106" s="92">
        <v>0</v>
      </c>
      <c r="W106" s="92">
        <v>0</v>
      </c>
      <c r="X106" s="92">
        <v>0</v>
      </c>
      <c r="Y106" s="92">
        <v>0</v>
      </c>
      <c r="Z106" s="92">
        <v>0</v>
      </c>
      <c r="AA106" s="92">
        <v>0</v>
      </c>
      <c r="AB106" s="92">
        <v>0</v>
      </c>
      <c r="AC106" s="92">
        <v>0</v>
      </c>
      <c r="AD106" s="92">
        <v>0</v>
      </c>
      <c r="AE106" s="92">
        <v>0</v>
      </c>
      <c r="AF106" s="92">
        <v>0</v>
      </c>
      <c r="AG106" s="92">
        <v>0</v>
      </c>
      <c r="AH106" s="92">
        <v>0</v>
      </c>
      <c r="AI106" s="338">
        <v>0.18864377666706916</v>
      </c>
      <c r="AJ106" s="338">
        <f t="shared" si="33"/>
        <v>0.20101724000748139</v>
      </c>
      <c r="AK106" s="338">
        <v>0.21339070334789359</v>
      </c>
      <c r="AL106" s="338">
        <f t="shared" si="34"/>
        <v>0.2113182396866137</v>
      </c>
      <c r="AM106" s="338">
        <f t="shared" si="35"/>
        <v>0.20924577602533379</v>
      </c>
      <c r="AN106" s="338">
        <v>0.2071733123640539</v>
      </c>
      <c r="AO106" s="338">
        <f t="shared" si="36"/>
        <v>0.19154602922158129</v>
      </c>
      <c r="AP106" s="338">
        <v>0.17591874607910868</v>
      </c>
    </row>
    <row r="107" spans="1:42" ht="36">
      <c r="A107" s="100" t="s">
        <v>448</v>
      </c>
      <c r="B107" s="92">
        <v>0</v>
      </c>
      <c r="C107" s="92">
        <v>0</v>
      </c>
      <c r="D107" s="92">
        <v>0</v>
      </c>
      <c r="E107" s="92">
        <v>0</v>
      </c>
      <c r="F107" s="92">
        <v>0</v>
      </c>
      <c r="G107" s="92">
        <v>0</v>
      </c>
      <c r="H107" s="92">
        <v>0</v>
      </c>
      <c r="I107" s="92">
        <v>0</v>
      </c>
      <c r="J107" s="92">
        <v>0</v>
      </c>
      <c r="K107" s="92">
        <v>0</v>
      </c>
      <c r="L107" s="92">
        <v>0</v>
      </c>
      <c r="M107" s="92">
        <v>0</v>
      </c>
      <c r="N107" s="92">
        <v>0</v>
      </c>
      <c r="O107" s="92">
        <v>0</v>
      </c>
      <c r="P107" s="92">
        <v>0</v>
      </c>
      <c r="Q107" s="92">
        <v>0</v>
      </c>
      <c r="R107" s="92">
        <v>0</v>
      </c>
      <c r="S107" s="92">
        <v>0</v>
      </c>
      <c r="T107" s="92">
        <v>0</v>
      </c>
      <c r="U107" s="92">
        <v>0</v>
      </c>
      <c r="V107" s="92">
        <v>0</v>
      </c>
      <c r="W107" s="92">
        <v>0</v>
      </c>
      <c r="X107" s="92">
        <v>0</v>
      </c>
      <c r="Y107" s="92">
        <v>0</v>
      </c>
      <c r="Z107" s="92">
        <v>0</v>
      </c>
      <c r="AA107" s="92">
        <v>0</v>
      </c>
      <c r="AB107" s="92">
        <v>0</v>
      </c>
      <c r="AC107" s="92">
        <v>0</v>
      </c>
      <c r="AD107" s="92">
        <v>0</v>
      </c>
      <c r="AE107" s="92">
        <v>0</v>
      </c>
      <c r="AF107" s="92">
        <v>0</v>
      </c>
      <c r="AG107" s="92">
        <v>0</v>
      </c>
      <c r="AH107" s="92">
        <v>0</v>
      </c>
      <c r="AI107" s="201">
        <v>29.775856740596048</v>
      </c>
      <c r="AJ107" s="338">
        <f t="shared" si="33"/>
        <v>29.269057317868906</v>
      </c>
      <c r="AK107" s="201">
        <v>28.762257895141769</v>
      </c>
      <c r="AL107" s="338">
        <f t="shared" si="34"/>
        <v>28.126783219728132</v>
      </c>
      <c r="AM107" s="338">
        <f t="shared" si="35"/>
        <v>27.491308544314492</v>
      </c>
      <c r="AN107" s="201">
        <v>26.855833868900856</v>
      </c>
      <c r="AO107" s="338">
        <f t="shared" si="36"/>
        <v>25.158234755921534</v>
      </c>
      <c r="AP107" s="201">
        <v>23.460635642942215</v>
      </c>
    </row>
    <row r="108" spans="1:42" ht="36">
      <c r="A108" s="100" t="s">
        <v>449</v>
      </c>
      <c r="B108" s="92">
        <v>0</v>
      </c>
      <c r="C108" s="92">
        <v>0</v>
      </c>
      <c r="D108" s="92">
        <v>0</v>
      </c>
      <c r="E108" s="92">
        <v>0</v>
      </c>
      <c r="F108" s="92">
        <v>0</v>
      </c>
      <c r="G108" s="92">
        <v>0</v>
      </c>
      <c r="H108" s="92">
        <v>0</v>
      </c>
      <c r="I108" s="92">
        <v>0</v>
      </c>
      <c r="J108" s="92">
        <v>0</v>
      </c>
      <c r="K108" s="92">
        <v>0</v>
      </c>
      <c r="L108" s="92">
        <v>0</v>
      </c>
      <c r="M108" s="92">
        <v>0</v>
      </c>
      <c r="N108" s="92">
        <v>0</v>
      </c>
      <c r="O108" s="92">
        <v>0</v>
      </c>
      <c r="P108" s="92">
        <v>0</v>
      </c>
      <c r="Q108" s="92">
        <v>0</v>
      </c>
      <c r="R108" s="92">
        <v>0</v>
      </c>
      <c r="S108" s="92">
        <v>0</v>
      </c>
      <c r="T108" s="92">
        <v>0</v>
      </c>
      <c r="U108" s="92">
        <v>0</v>
      </c>
      <c r="V108" s="92">
        <v>0</v>
      </c>
      <c r="W108" s="92">
        <v>0</v>
      </c>
      <c r="X108" s="92">
        <v>0</v>
      </c>
      <c r="Y108" s="92">
        <v>0</v>
      </c>
      <c r="Z108" s="92">
        <v>0</v>
      </c>
      <c r="AA108" s="92">
        <v>0</v>
      </c>
      <c r="AB108" s="92">
        <v>0</v>
      </c>
      <c r="AC108" s="92">
        <v>0</v>
      </c>
      <c r="AD108" s="92">
        <v>0</v>
      </c>
      <c r="AE108" s="92">
        <v>0</v>
      </c>
      <c r="AF108" s="92">
        <v>0</v>
      </c>
      <c r="AG108" s="92">
        <v>0</v>
      </c>
      <c r="AH108" s="92">
        <v>0</v>
      </c>
      <c r="AI108" s="92">
        <v>0</v>
      </c>
      <c r="AJ108" s="92">
        <v>0</v>
      </c>
      <c r="AK108" s="92">
        <v>0</v>
      </c>
      <c r="AL108" s="92">
        <v>0</v>
      </c>
      <c r="AM108" s="92">
        <v>0</v>
      </c>
      <c r="AN108" s="92">
        <v>0</v>
      </c>
      <c r="AO108" s="92">
        <v>0</v>
      </c>
      <c r="AP108" s="92">
        <v>0</v>
      </c>
    </row>
    <row r="109" spans="1:42" ht="24">
      <c r="A109" s="100" t="s">
        <v>450</v>
      </c>
      <c r="B109" s="92">
        <v>0</v>
      </c>
      <c r="C109" s="92">
        <v>0</v>
      </c>
      <c r="D109" s="92">
        <v>0</v>
      </c>
      <c r="E109" s="92">
        <v>0</v>
      </c>
      <c r="F109" s="92">
        <v>0</v>
      </c>
      <c r="G109" s="92">
        <v>0</v>
      </c>
      <c r="H109" s="92">
        <v>0</v>
      </c>
      <c r="I109" s="92">
        <v>0</v>
      </c>
      <c r="J109" s="92">
        <v>0.41716069848267517</v>
      </c>
      <c r="K109" s="92">
        <v>1.7324396244033482</v>
      </c>
      <c r="L109" s="92">
        <v>4.5123361154440795</v>
      </c>
      <c r="M109" s="92">
        <v>7.7842298975622972</v>
      </c>
      <c r="N109" s="92">
        <v>12.168961387580675</v>
      </c>
      <c r="O109" s="92">
        <v>17.023075356363556</v>
      </c>
      <c r="P109" s="92">
        <v>22.62183401958103</v>
      </c>
      <c r="Q109" s="92">
        <v>29.047955668067097</v>
      </c>
      <c r="R109" s="92">
        <v>35.555575466284623</v>
      </c>
      <c r="S109" s="92">
        <v>42.839390093233355</v>
      </c>
      <c r="T109" s="92">
        <v>50.297372140427257</v>
      </c>
      <c r="U109" s="92">
        <v>54.682333479021374</v>
      </c>
      <c r="V109" s="92">
        <v>65.355203620619619</v>
      </c>
      <c r="W109" s="92">
        <v>65.94297288810354</v>
      </c>
      <c r="X109" s="92">
        <v>71.255721922368693</v>
      </c>
      <c r="Y109" s="92">
        <v>72.449327549074908</v>
      </c>
      <c r="Z109" s="92">
        <v>68.54037177959772</v>
      </c>
      <c r="AA109" s="92">
        <v>78.839762589712521</v>
      </c>
      <c r="AB109" s="92">
        <v>79.725600660111596</v>
      </c>
      <c r="AC109" s="92">
        <v>78.169387820315492</v>
      </c>
      <c r="AD109" s="92">
        <v>74.740540351091695</v>
      </c>
      <c r="AE109" s="203">
        <v>66.691717341570921</v>
      </c>
      <c r="AF109" s="92">
        <v>51.467179070689539</v>
      </c>
      <c r="AG109" s="92">
        <v>45.661535779520506</v>
      </c>
      <c r="AH109" s="92">
        <v>51.206557817337462</v>
      </c>
      <c r="AI109" s="440" t="s">
        <v>482</v>
      </c>
      <c r="AJ109" s="441"/>
      <c r="AK109" s="441"/>
      <c r="AL109" s="441"/>
      <c r="AM109" s="441"/>
      <c r="AN109" s="441"/>
      <c r="AO109" s="441"/>
      <c r="AP109" s="442"/>
    </row>
    <row r="110" spans="1:42" ht="24">
      <c r="A110" s="100" t="s">
        <v>451</v>
      </c>
      <c r="B110" s="92">
        <v>0</v>
      </c>
      <c r="C110" s="92">
        <v>0</v>
      </c>
      <c r="D110" s="92">
        <v>0</v>
      </c>
      <c r="E110" s="92">
        <v>0</v>
      </c>
      <c r="F110" s="92">
        <v>0</v>
      </c>
      <c r="G110" s="92">
        <v>0</v>
      </c>
      <c r="H110" s="92">
        <v>0</v>
      </c>
      <c r="I110" s="92">
        <v>0</v>
      </c>
      <c r="J110" s="92">
        <v>2.1218058426881125E-3</v>
      </c>
      <c r="K110" s="92">
        <v>1.0875421781987235E-2</v>
      </c>
      <c r="L110" s="92">
        <v>3.3287732092034089E-2</v>
      </c>
      <c r="M110" s="92">
        <v>6.0373247811844354E-2</v>
      </c>
      <c r="N110" s="92">
        <v>8.6022149066943915E-2</v>
      </c>
      <c r="O110" s="92">
        <v>0.10946635917347165</v>
      </c>
      <c r="P110" s="92">
        <v>0.12301971512395748</v>
      </c>
      <c r="Q110" s="92">
        <v>0.12952597139418257</v>
      </c>
      <c r="R110" s="92">
        <v>0.16760209769455633</v>
      </c>
      <c r="S110" s="92">
        <v>0.18900993783100034</v>
      </c>
      <c r="T110" s="92">
        <v>0.17788050694141994</v>
      </c>
      <c r="U110" s="92">
        <v>0.18093698676767395</v>
      </c>
      <c r="V110" s="92">
        <v>0.16848640909202842</v>
      </c>
      <c r="W110" s="92">
        <v>0.13765342511989431</v>
      </c>
      <c r="X110" s="92">
        <v>0.14123562970266881</v>
      </c>
      <c r="Y110" s="92">
        <v>0.14692564115332435</v>
      </c>
      <c r="Z110" s="92">
        <v>0.12543920007481468</v>
      </c>
      <c r="AA110" s="92">
        <v>0.17024103968443358</v>
      </c>
      <c r="AB110" s="92">
        <v>0.17496744687597696</v>
      </c>
      <c r="AC110" s="92">
        <v>0.18090468547758073</v>
      </c>
      <c r="AD110" s="92">
        <v>0.1851919263259568</v>
      </c>
      <c r="AE110" s="92">
        <v>0.11239998520375992</v>
      </c>
      <c r="AF110" s="92">
        <v>0.1342156782993266</v>
      </c>
      <c r="AG110" s="92">
        <v>0.12238669384969957</v>
      </c>
      <c r="AH110" s="92">
        <v>0.13672443049327321</v>
      </c>
      <c r="AI110" s="440" t="s">
        <v>482</v>
      </c>
      <c r="AJ110" s="441"/>
      <c r="AK110" s="441"/>
      <c r="AL110" s="441"/>
      <c r="AM110" s="441"/>
      <c r="AN110" s="441"/>
      <c r="AO110" s="441"/>
      <c r="AP110" s="442"/>
    </row>
    <row r="111" spans="1:42">
      <c r="A111" s="100" t="s">
        <v>452</v>
      </c>
      <c r="B111" s="92">
        <v>0</v>
      </c>
      <c r="C111" s="92">
        <v>0</v>
      </c>
      <c r="D111" s="92">
        <v>0</v>
      </c>
      <c r="E111" s="92">
        <v>0</v>
      </c>
      <c r="F111" s="92">
        <v>0</v>
      </c>
      <c r="G111" s="92">
        <v>0</v>
      </c>
      <c r="H111" s="92">
        <v>0</v>
      </c>
      <c r="I111" s="92">
        <v>0</v>
      </c>
      <c r="J111" s="92">
        <v>4.572905387474979E-4</v>
      </c>
      <c r="K111" s="92">
        <v>2.00932579286121E-3</v>
      </c>
      <c r="L111" s="92">
        <v>1.1161442355127007E-2</v>
      </c>
      <c r="M111" s="92">
        <v>0.27611301534788768</v>
      </c>
      <c r="N111" s="92">
        <v>0.44048922093530335</v>
      </c>
      <c r="O111" s="92">
        <v>0.93410648898390169</v>
      </c>
      <c r="P111" s="92">
        <v>1.3852366365338435</v>
      </c>
      <c r="Q111" s="92">
        <v>1.753024499542609</v>
      </c>
      <c r="R111" s="92">
        <v>2.8478154914559219</v>
      </c>
      <c r="S111" s="92">
        <v>4.0229884006088854</v>
      </c>
      <c r="T111" s="92">
        <v>5.3920836342766414</v>
      </c>
      <c r="U111" s="92">
        <v>5.6923572677556455</v>
      </c>
      <c r="V111" s="92">
        <v>6.7415822054805767</v>
      </c>
      <c r="W111" s="92">
        <v>15.148113670176224</v>
      </c>
      <c r="X111" s="92">
        <v>18.019550111251739</v>
      </c>
      <c r="Y111" s="92">
        <v>21.687150836573302</v>
      </c>
      <c r="Z111" s="92">
        <v>25.829052688771988</v>
      </c>
      <c r="AA111" s="92">
        <v>32.242265983106101</v>
      </c>
      <c r="AB111" s="92">
        <v>37.541809339277719</v>
      </c>
      <c r="AC111" s="92">
        <v>43.39346838223647</v>
      </c>
      <c r="AD111" s="92">
        <v>50.9329813593328</v>
      </c>
      <c r="AE111" s="92">
        <v>58.724687117970262</v>
      </c>
      <c r="AF111" s="92">
        <v>75.332568958530132</v>
      </c>
      <c r="AG111" s="92">
        <v>88.482989420365556</v>
      </c>
      <c r="AH111" s="92">
        <v>77.22316158168546</v>
      </c>
      <c r="AI111" s="440" t="s">
        <v>482</v>
      </c>
      <c r="AJ111" s="441"/>
      <c r="AK111" s="441"/>
      <c r="AL111" s="441"/>
      <c r="AM111" s="441"/>
      <c r="AN111" s="441"/>
      <c r="AO111" s="441"/>
      <c r="AP111" s="442"/>
    </row>
    <row r="112" spans="1:42" ht="24">
      <c r="A112" s="100" t="s">
        <v>453</v>
      </c>
      <c r="B112" s="92">
        <v>0</v>
      </c>
      <c r="C112" s="92">
        <v>0</v>
      </c>
      <c r="D112" s="92">
        <v>0</v>
      </c>
      <c r="E112" s="92">
        <v>0</v>
      </c>
      <c r="F112" s="92">
        <v>0</v>
      </c>
      <c r="G112" s="92">
        <v>0</v>
      </c>
      <c r="H112" s="92">
        <v>0</v>
      </c>
      <c r="I112" s="92">
        <v>0</v>
      </c>
      <c r="J112" s="92">
        <v>0</v>
      </c>
      <c r="K112" s="92">
        <v>0</v>
      </c>
      <c r="L112" s="92">
        <v>0</v>
      </c>
      <c r="M112" s="92">
        <v>0</v>
      </c>
      <c r="N112" s="92">
        <v>0</v>
      </c>
      <c r="O112" s="92">
        <v>0</v>
      </c>
      <c r="P112" s="92">
        <v>0</v>
      </c>
      <c r="Q112" s="92">
        <v>0</v>
      </c>
      <c r="R112" s="92">
        <v>0</v>
      </c>
      <c r="S112" s="92">
        <v>0</v>
      </c>
      <c r="T112" s="92">
        <v>0</v>
      </c>
      <c r="U112" s="92">
        <v>0</v>
      </c>
      <c r="V112" s="92">
        <v>0</v>
      </c>
      <c r="W112" s="92">
        <v>0</v>
      </c>
      <c r="X112" s="92">
        <v>0</v>
      </c>
      <c r="Y112" s="92">
        <v>0</v>
      </c>
      <c r="Z112" s="92">
        <v>0</v>
      </c>
      <c r="AA112" s="92">
        <v>0</v>
      </c>
      <c r="AB112" s="92">
        <v>0</v>
      </c>
      <c r="AC112" s="92">
        <v>0</v>
      </c>
      <c r="AD112" s="92">
        <v>0</v>
      </c>
      <c r="AE112" s="92">
        <v>0</v>
      </c>
      <c r="AF112" s="92">
        <v>0</v>
      </c>
      <c r="AG112" s="92">
        <v>0</v>
      </c>
      <c r="AH112" s="92">
        <v>0</v>
      </c>
      <c r="AI112" s="440" t="s">
        <v>482</v>
      </c>
      <c r="AJ112" s="441"/>
      <c r="AK112" s="441"/>
      <c r="AL112" s="441"/>
      <c r="AM112" s="441"/>
      <c r="AN112" s="441"/>
      <c r="AO112" s="441"/>
      <c r="AP112" s="442"/>
    </row>
    <row r="113" spans="1:42" ht="24">
      <c r="A113" s="100" t="s">
        <v>454</v>
      </c>
      <c r="B113" s="92">
        <v>0</v>
      </c>
      <c r="C113" s="92">
        <v>0</v>
      </c>
      <c r="D113" s="92">
        <v>0</v>
      </c>
      <c r="E113" s="92">
        <v>0</v>
      </c>
      <c r="F113" s="92">
        <v>0</v>
      </c>
      <c r="G113" s="92">
        <v>0</v>
      </c>
      <c r="H113" s="92">
        <v>0</v>
      </c>
      <c r="I113" s="92">
        <v>0</v>
      </c>
      <c r="J113" s="92">
        <v>0</v>
      </c>
      <c r="K113" s="92">
        <v>0</v>
      </c>
      <c r="L113" s="92">
        <v>0</v>
      </c>
      <c r="M113" s="92">
        <v>0</v>
      </c>
      <c r="N113" s="92">
        <v>0</v>
      </c>
      <c r="O113" s="92">
        <v>0</v>
      </c>
      <c r="P113" s="92">
        <v>0</v>
      </c>
      <c r="Q113" s="92">
        <v>0</v>
      </c>
      <c r="R113" s="92">
        <v>0</v>
      </c>
      <c r="S113" s="92">
        <v>0</v>
      </c>
      <c r="T113" s="92">
        <v>0</v>
      </c>
      <c r="U113" s="92">
        <v>0</v>
      </c>
      <c r="V113" s="92">
        <v>0</v>
      </c>
      <c r="W113" s="92">
        <v>0</v>
      </c>
      <c r="X113" s="92">
        <v>0</v>
      </c>
      <c r="Y113" s="92">
        <v>0</v>
      </c>
      <c r="Z113" s="92">
        <v>0</v>
      </c>
      <c r="AA113" s="92">
        <v>0</v>
      </c>
      <c r="AB113" s="92">
        <v>0</v>
      </c>
      <c r="AC113" s="92">
        <v>0</v>
      </c>
      <c r="AD113" s="92">
        <v>0</v>
      </c>
      <c r="AE113" s="92">
        <v>0</v>
      </c>
      <c r="AF113" s="92">
        <v>0</v>
      </c>
      <c r="AG113" s="92">
        <v>0</v>
      </c>
      <c r="AH113" s="92">
        <v>0</v>
      </c>
      <c r="AI113" s="338">
        <v>0</v>
      </c>
      <c r="AJ113" s="338">
        <f>AI113+(AK113-AI113)/2</f>
        <v>0</v>
      </c>
      <c r="AK113" s="338">
        <v>0</v>
      </c>
      <c r="AL113" s="338">
        <f>AK113+(AN113-AK113)/3</f>
        <v>0</v>
      </c>
      <c r="AM113" s="338">
        <f>AK113+(AN113-AK113)*2/3</f>
        <v>0</v>
      </c>
      <c r="AN113" s="338">
        <v>0</v>
      </c>
      <c r="AO113" s="338">
        <f>AN113+(AP113-AN113)/2</f>
        <v>0</v>
      </c>
      <c r="AP113" s="338">
        <v>0</v>
      </c>
    </row>
    <row r="114" spans="1:42" ht="24">
      <c r="A114" s="100" t="s">
        <v>455</v>
      </c>
      <c r="B114" s="92">
        <v>0</v>
      </c>
      <c r="C114" s="92">
        <v>0</v>
      </c>
      <c r="D114" s="92">
        <v>0</v>
      </c>
      <c r="E114" s="92">
        <v>0</v>
      </c>
      <c r="F114" s="92">
        <v>0</v>
      </c>
      <c r="G114" s="92">
        <v>0</v>
      </c>
      <c r="H114" s="92">
        <v>0</v>
      </c>
      <c r="I114" s="92">
        <v>0</v>
      </c>
      <c r="J114" s="92">
        <v>0</v>
      </c>
      <c r="K114" s="92">
        <v>0</v>
      </c>
      <c r="L114" s="92">
        <v>0</v>
      </c>
      <c r="M114" s="92">
        <v>0</v>
      </c>
      <c r="N114" s="92">
        <v>0</v>
      </c>
      <c r="O114" s="92">
        <v>0</v>
      </c>
      <c r="P114" s="92">
        <v>0</v>
      </c>
      <c r="Q114" s="92">
        <v>0</v>
      </c>
      <c r="R114" s="92">
        <v>0</v>
      </c>
      <c r="S114" s="92">
        <v>0</v>
      </c>
      <c r="T114" s="92">
        <v>0</v>
      </c>
      <c r="U114" s="92">
        <v>0</v>
      </c>
      <c r="V114" s="92">
        <v>0</v>
      </c>
      <c r="W114" s="92">
        <v>0</v>
      </c>
      <c r="X114" s="92">
        <v>0</v>
      </c>
      <c r="Y114" s="92">
        <v>0</v>
      </c>
      <c r="Z114" s="92">
        <v>0</v>
      </c>
      <c r="AA114" s="92">
        <v>0</v>
      </c>
      <c r="AB114" s="92">
        <v>0</v>
      </c>
      <c r="AC114" s="92">
        <v>0</v>
      </c>
      <c r="AD114" s="92">
        <v>0</v>
      </c>
      <c r="AE114" s="92">
        <v>0</v>
      </c>
      <c r="AF114" s="92">
        <v>0</v>
      </c>
      <c r="AG114" s="92">
        <v>0</v>
      </c>
      <c r="AH114" s="92">
        <v>0</v>
      </c>
      <c r="AI114" s="338">
        <v>0</v>
      </c>
      <c r="AJ114" s="338">
        <f t="shared" ref="AJ114:AJ117" si="37">AI114+(AK114-AI114)/2</f>
        <v>0</v>
      </c>
      <c r="AK114" s="338">
        <v>0</v>
      </c>
      <c r="AL114" s="338">
        <f t="shared" ref="AL114:AL117" si="38">AK114+(AN114-AK114)/3</f>
        <v>0</v>
      </c>
      <c r="AM114" s="338">
        <f t="shared" ref="AM114:AM117" si="39">AK114+(AN114-AK114)*2/3</f>
        <v>0</v>
      </c>
      <c r="AN114" s="338">
        <v>0</v>
      </c>
      <c r="AO114" s="338">
        <f t="shared" ref="AO114:AO117" si="40">AN114+(AP114-AN114)/2</f>
        <v>0</v>
      </c>
      <c r="AP114" s="338">
        <v>0</v>
      </c>
    </row>
    <row r="115" spans="1:42" ht="24">
      <c r="A115" s="100" t="s">
        <v>456</v>
      </c>
      <c r="B115" s="92">
        <v>0</v>
      </c>
      <c r="C115" s="92">
        <v>0</v>
      </c>
      <c r="D115" s="92">
        <v>0</v>
      </c>
      <c r="E115" s="92">
        <v>0</v>
      </c>
      <c r="F115" s="92">
        <v>0</v>
      </c>
      <c r="G115" s="92">
        <v>0</v>
      </c>
      <c r="H115" s="92">
        <v>0</v>
      </c>
      <c r="I115" s="92">
        <v>0</v>
      </c>
      <c r="J115" s="92">
        <v>0</v>
      </c>
      <c r="K115" s="92">
        <v>0</v>
      </c>
      <c r="L115" s="92">
        <v>0</v>
      </c>
      <c r="M115" s="92">
        <v>0</v>
      </c>
      <c r="N115" s="92">
        <v>0</v>
      </c>
      <c r="O115" s="92">
        <v>0</v>
      </c>
      <c r="P115" s="92">
        <v>0</v>
      </c>
      <c r="Q115" s="92">
        <v>0</v>
      </c>
      <c r="R115" s="92">
        <v>0</v>
      </c>
      <c r="S115" s="92">
        <v>0</v>
      </c>
      <c r="T115" s="92">
        <v>0</v>
      </c>
      <c r="U115" s="92">
        <v>0</v>
      </c>
      <c r="V115" s="92">
        <v>0</v>
      </c>
      <c r="W115" s="92">
        <v>0</v>
      </c>
      <c r="X115" s="92">
        <v>0</v>
      </c>
      <c r="Y115" s="92">
        <v>0</v>
      </c>
      <c r="Z115" s="92">
        <v>0</v>
      </c>
      <c r="AA115" s="92">
        <v>0</v>
      </c>
      <c r="AB115" s="92">
        <v>0</v>
      </c>
      <c r="AC115" s="92">
        <v>0</v>
      </c>
      <c r="AD115" s="92">
        <v>0</v>
      </c>
      <c r="AE115" s="92">
        <v>0</v>
      </c>
      <c r="AF115" s="92">
        <v>0</v>
      </c>
      <c r="AG115" s="92">
        <v>0</v>
      </c>
      <c r="AH115" s="92">
        <v>0</v>
      </c>
      <c r="AI115" s="338">
        <v>0</v>
      </c>
      <c r="AJ115" s="338">
        <f t="shared" si="37"/>
        <v>0</v>
      </c>
      <c r="AK115" s="338">
        <v>0</v>
      </c>
      <c r="AL115" s="338">
        <f t="shared" si="38"/>
        <v>0</v>
      </c>
      <c r="AM115" s="338">
        <f t="shared" si="39"/>
        <v>0</v>
      </c>
      <c r="AN115" s="338">
        <v>0</v>
      </c>
      <c r="AO115" s="338">
        <f t="shared" si="40"/>
        <v>0</v>
      </c>
      <c r="AP115" s="338">
        <v>0</v>
      </c>
    </row>
    <row r="116" spans="1:42">
      <c r="A116" s="124" t="s">
        <v>457</v>
      </c>
      <c r="B116" s="126">
        <v>0</v>
      </c>
      <c r="C116" s="126">
        <v>0</v>
      </c>
      <c r="D116" s="126">
        <v>0</v>
      </c>
      <c r="E116" s="126">
        <v>0.29337282612128684</v>
      </c>
      <c r="F116" s="126">
        <v>29.555419213944411</v>
      </c>
      <c r="G116" s="126">
        <v>96.994282336758232</v>
      </c>
      <c r="H116" s="126">
        <v>181.02441229944631</v>
      </c>
      <c r="I116" s="126">
        <v>281.81289000476636</v>
      </c>
      <c r="J116" s="126">
        <v>423.55553794777956</v>
      </c>
      <c r="K116" s="126">
        <v>651.76910650596938</v>
      </c>
      <c r="L116" s="126">
        <v>902.03376431110644</v>
      </c>
      <c r="M116" s="126">
        <v>1125.3548888229841</v>
      </c>
      <c r="N116" s="126">
        <v>1350.5322963579456</v>
      </c>
      <c r="O116" s="126">
        <v>1609.0322529784767</v>
      </c>
      <c r="P116" s="126">
        <v>1863.8565597181216</v>
      </c>
      <c r="Q116" s="126">
        <v>1885.9755374351198</v>
      </c>
      <c r="R116" s="126">
        <v>2264.5371925345316</v>
      </c>
      <c r="S116" s="126">
        <v>2486.4820682105246</v>
      </c>
      <c r="T116" s="126">
        <v>2686.5491312194058</v>
      </c>
      <c r="U116" s="126">
        <v>2676.7375380999365</v>
      </c>
      <c r="V116" s="126">
        <v>2883.8133735296019</v>
      </c>
      <c r="W116" s="126">
        <v>2937.5190274734559</v>
      </c>
      <c r="X116" s="126">
        <v>3002.0064711152131</v>
      </c>
      <c r="Y116" s="126">
        <v>3032.9034903457718</v>
      </c>
      <c r="Z116" s="126">
        <v>3018.2735699488126</v>
      </c>
      <c r="AA116" s="126">
        <v>2883.0860229914665</v>
      </c>
      <c r="AB116" s="126">
        <v>2840.5361702150367</v>
      </c>
      <c r="AC116" s="126">
        <v>2667.8068149816372</v>
      </c>
      <c r="AD116" s="126">
        <v>2407.0114254624741</v>
      </c>
      <c r="AE116" s="126">
        <v>2161.1041485626902</v>
      </c>
      <c r="AF116" s="126">
        <v>1924.7408719608857</v>
      </c>
      <c r="AG116" s="126">
        <v>1746.8728843179449</v>
      </c>
      <c r="AH116" s="126">
        <v>1530.638631919478</v>
      </c>
      <c r="AI116" s="349">
        <v>1335.1428187120162</v>
      </c>
      <c r="AJ116" s="349">
        <f t="shared" ref="AJ116:AO116" si="41">SUM(AJ95:AJ115)</f>
        <v>1129.7398040526086</v>
      </c>
      <c r="AK116" s="349">
        <v>924.33678939320055</v>
      </c>
      <c r="AL116" s="349">
        <f t="shared" si="41"/>
        <v>782.00411714233303</v>
      </c>
      <c r="AM116" s="349">
        <f t="shared" si="41"/>
        <v>639.6714448914654</v>
      </c>
      <c r="AN116" s="349">
        <v>497.33877264059765</v>
      </c>
      <c r="AO116" s="349">
        <f t="shared" si="41"/>
        <v>401.21186897012143</v>
      </c>
      <c r="AP116" s="349">
        <v>305.08496529964526</v>
      </c>
    </row>
    <row r="117" spans="1:42" ht="24">
      <c r="A117" s="100" t="s">
        <v>60</v>
      </c>
      <c r="B117" s="92">
        <v>0</v>
      </c>
      <c r="C117" s="92">
        <v>0</v>
      </c>
      <c r="D117" s="92">
        <v>0</v>
      </c>
      <c r="E117" s="92">
        <v>0</v>
      </c>
      <c r="F117" s="92">
        <v>0</v>
      </c>
      <c r="G117" s="92">
        <v>0</v>
      </c>
      <c r="H117" s="92">
        <v>0</v>
      </c>
      <c r="I117" s="92">
        <v>0</v>
      </c>
      <c r="J117" s="92">
        <v>0</v>
      </c>
      <c r="K117" s="92">
        <v>2.0922127064199509</v>
      </c>
      <c r="L117" s="92">
        <v>6.1619162064705106</v>
      </c>
      <c r="M117" s="92">
        <v>10.053452658863767</v>
      </c>
      <c r="N117" s="92">
        <v>13.728449501498504</v>
      </c>
      <c r="O117" s="92">
        <v>17.123325143716155</v>
      </c>
      <c r="P117" s="92">
        <v>20.212768019510076</v>
      </c>
      <c r="Q117" s="92">
        <v>23.277280580865686</v>
      </c>
      <c r="R117" s="92">
        <v>26.597007905323895</v>
      </c>
      <c r="S117" s="92">
        <v>30.486972243666777</v>
      </c>
      <c r="T117" s="92">
        <v>33.304510887554613</v>
      </c>
      <c r="U117" s="92">
        <v>36.204560566279476</v>
      </c>
      <c r="V117" s="92">
        <v>39.340563600981412</v>
      </c>
      <c r="W117" s="92">
        <v>42.475076720737313</v>
      </c>
      <c r="X117" s="92">
        <v>44.368299662839377</v>
      </c>
      <c r="Y117" s="92">
        <v>45.744068112606492</v>
      </c>
      <c r="Z117" s="92">
        <v>47.219104168625584</v>
      </c>
      <c r="AA117" s="92">
        <v>48.992073876058079</v>
      </c>
      <c r="AB117" s="92">
        <v>48.041649064388018</v>
      </c>
      <c r="AC117" s="92">
        <v>47.19387259947576</v>
      </c>
      <c r="AD117" s="92">
        <v>45.784418897737844</v>
      </c>
      <c r="AE117" s="92">
        <v>44.425094621743781</v>
      </c>
      <c r="AF117" s="92">
        <v>43.046307459895701</v>
      </c>
      <c r="AG117" s="92">
        <v>40.617270877588204</v>
      </c>
      <c r="AH117" s="92">
        <v>36.878587378575205</v>
      </c>
      <c r="AI117" s="338">
        <v>33.866579676402111</v>
      </c>
      <c r="AJ117" s="338">
        <f t="shared" si="37"/>
        <v>31.513134569035245</v>
      </c>
      <c r="AK117" s="338">
        <v>29.159689461668382</v>
      </c>
      <c r="AL117" s="338">
        <f t="shared" si="38"/>
        <v>26.571334155181091</v>
      </c>
      <c r="AM117" s="338">
        <f t="shared" si="39"/>
        <v>23.982978848693797</v>
      </c>
      <c r="AN117" s="338">
        <v>21.394623542206507</v>
      </c>
      <c r="AO117" s="338">
        <f t="shared" si="40"/>
        <v>18.854210601478815</v>
      </c>
      <c r="AP117" s="338">
        <v>16.313797660751124</v>
      </c>
    </row>
    <row r="118" spans="1:42" ht="36">
      <c r="A118" s="100" t="s">
        <v>458</v>
      </c>
      <c r="B118" s="92">
        <v>0</v>
      </c>
      <c r="C118" s="92">
        <v>0</v>
      </c>
      <c r="D118" s="92">
        <v>0</v>
      </c>
      <c r="E118" s="92">
        <v>0</v>
      </c>
      <c r="F118" s="92">
        <v>0</v>
      </c>
      <c r="G118" s="92">
        <v>0</v>
      </c>
      <c r="H118" s="92">
        <v>0</v>
      </c>
      <c r="I118" s="92">
        <v>0</v>
      </c>
      <c r="J118" s="92">
        <v>0</v>
      </c>
      <c r="K118" s="92">
        <v>0</v>
      </c>
      <c r="L118" s="92">
        <v>0</v>
      </c>
      <c r="M118" s="92">
        <v>0</v>
      </c>
      <c r="N118" s="92">
        <v>0</v>
      </c>
      <c r="O118" s="92">
        <v>0</v>
      </c>
      <c r="P118" s="92">
        <v>0</v>
      </c>
      <c r="Q118" s="92">
        <v>0</v>
      </c>
      <c r="R118" s="92">
        <v>0</v>
      </c>
      <c r="S118" s="92">
        <v>0</v>
      </c>
      <c r="T118" s="92">
        <v>0</v>
      </c>
      <c r="U118" s="92">
        <v>0</v>
      </c>
      <c r="V118" s="92">
        <v>0</v>
      </c>
      <c r="W118" s="92">
        <v>0</v>
      </c>
      <c r="X118" s="92">
        <v>0</v>
      </c>
      <c r="Y118" s="92">
        <v>0</v>
      </c>
      <c r="Z118" s="92">
        <v>0</v>
      </c>
      <c r="AA118" s="92">
        <v>0</v>
      </c>
      <c r="AB118" s="92">
        <v>0</v>
      </c>
      <c r="AC118" s="92">
        <v>0</v>
      </c>
      <c r="AD118" s="92">
        <v>0</v>
      </c>
      <c r="AE118" s="92">
        <v>0</v>
      </c>
      <c r="AF118" s="92">
        <v>0</v>
      </c>
      <c r="AG118" s="92">
        <v>0</v>
      </c>
      <c r="AH118" s="92">
        <v>0</v>
      </c>
      <c r="AI118" s="338">
        <v>0</v>
      </c>
      <c r="AJ118" s="338">
        <f>AI118+(AK118-AI118)/2</f>
        <v>0</v>
      </c>
      <c r="AK118" s="338">
        <v>0</v>
      </c>
      <c r="AL118" s="338">
        <f>AK118+(AN118-AK118)/3</f>
        <v>0</v>
      </c>
      <c r="AM118" s="338">
        <f>AK118+(AN118-AK118)*2/3</f>
        <v>0</v>
      </c>
      <c r="AN118" s="338">
        <v>0</v>
      </c>
      <c r="AO118" s="338">
        <f>AN118+(AP118-AN118)/2</f>
        <v>0</v>
      </c>
      <c r="AP118" s="338">
        <v>0</v>
      </c>
    </row>
    <row r="119" spans="1:42" ht="36">
      <c r="A119" s="100" t="s">
        <v>459</v>
      </c>
      <c r="B119" s="92">
        <v>0</v>
      </c>
      <c r="C119" s="92">
        <v>0</v>
      </c>
      <c r="D119" s="92">
        <v>0</v>
      </c>
      <c r="E119" s="92">
        <v>0</v>
      </c>
      <c r="F119" s="92">
        <v>2.0817119706569946</v>
      </c>
      <c r="G119" s="92">
        <v>12.495458876000852</v>
      </c>
      <c r="H119" s="92">
        <v>30.160892595835541</v>
      </c>
      <c r="I119" s="92">
        <v>50.358666884095307</v>
      </c>
      <c r="J119" s="92">
        <v>72.687486661130535</v>
      </c>
      <c r="K119" s="92">
        <v>97.133346183055735</v>
      </c>
      <c r="L119" s="92">
        <v>124.77660214928201</v>
      </c>
      <c r="M119" s="92">
        <v>154.56349439166189</v>
      </c>
      <c r="N119" s="92">
        <v>185.00207414122028</v>
      </c>
      <c r="O119" s="92">
        <v>214.80336374017605</v>
      </c>
      <c r="P119" s="92">
        <v>243.21038299829067</v>
      </c>
      <c r="Q119" s="92">
        <v>264.54394987579326</v>
      </c>
      <c r="R119" s="92">
        <v>281.02139401009703</v>
      </c>
      <c r="S119" s="92">
        <v>302.80308844417516</v>
      </c>
      <c r="T119" s="92">
        <v>332.08369016354737</v>
      </c>
      <c r="U119" s="92">
        <v>342.62175320364156</v>
      </c>
      <c r="V119" s="92">
        <v>344.43326193330421</v>
      </c>
      <c r="W119" s="92">
        <v>357.84547465174631</v>
      </c>
      <c r="X119" s="92">
        <v>377.52362508170245</v>
      </c>
      <c r="Y119" s="92">
        <v>395.18780923345366</v>
      </c>
      <c r="Z119" s="92">
        <v>405.69714108563744</v>
      </c>
      <c r="AA119" s="92">
        <v>418.08511324704762</v>
      </c>
      <c r="AB119" s="92">
        <v>422.9900319891135</v>
      </c>
      <c r="AC119" s="92">
        <v>422.13129822114524</v>
      </c>
      <c r="AD119" s="92">
        <v>429.36022501350351</v>
      </c>
      <c r="AE119" s="92">
        <v>422.38918326614692</v>
      </c>
      <c r="AF119" s="92">
        <v>409.86684686092804</v>
      </c>
      <c r="AG119" s="92">
        <v>405.23959656350178</v>
      </c>
      <c r="AH119" s="92">
        <v>374.3833125653029</v>
      </c>
      <c r="AI119" s="338">
        <v>374.79707242204955</v>
      </c>
      <c r="AJ119" s="338">
        <f t="shared" ref="AJ119:AJ121" si="42">AI119+(AK119-AI119)/2</f>
        <v>352.95178781822108</v>
      </c>
      <c r="AK119" s="338">
        <v>331.10650321439255</v>
      </c>
      <c r="AL119" s="338">
        <f t="shared" ref="AL119:AL121" si="43">AK119+(AN119-AK119)/3</f>
        <v>309.60552447455348</v>
      </c>
      <c r="AM119" s="338">
        <f t="shared" ref="AM119:AM121" si="44">AK119+(AN119-AK119)*2/3</f>
        <v>288.10454573471435</v>
      </c>
      <c r="AN119" s="338">
        <v>266.60356699487528</v>
      </c>
      <c r="AO119" s="338">
        <f t="shared" ref="AO119:AO121" si="45">AN119+(AP119-AN119)/2</f>
        <v>242.71598452557049</v>
      </c>
      <c r="AP119" s="338">
        <v>218.82840205626573</v>
      </c>
    </row>
    <row r="120" spans="1:42" ht="36">
      <c r="A120" s="100" t="s">
        <v>460</v>
      </c>
      <c r="B120" s="92">
        <v>0</v>
      </c>
      <c r="C120" s="92">
        <v>0</v>
      </c>
      <c r="D120" s="92">
        <v>0</v>
      </c>
      <c r="E120" s="92">
        <v>0</v>
      </c>
      <c r="F120" s="92">
        <v>0</v>
      </c>
      <c r="G120" s="92">
        <v>0</v>
      </c>
      <c r="H120" s="92">
        <v>0</v>
      </c>
      <c r="I120" s="92">
        <v>0</v>
      </c>
      <c r="J120" s="92">
        <v>0</v>
      </c>
      <c r="K120" s="92">
        <v>0</v>
      </c>
      <c r="L120" s="92">
        <v>0</v>
      </c>
      <c r="M120" s="92">
        <v>0</v>
      </c>
      <c r="N120" s="92">
        <v>0</v>
      </c>
      <c r="O120" s="92">
        <v>0</v>
      </c>
      <c r="P120" s="92">
        <v>0</v>
      </c>
      <c r="Q120" s="92">
        <v>0</v>
      </c>
      <c r="R120" s="92">
        <v>0</v>
      </c>
      <c r="S120" s="92">
        <v>0</v>
      </c>
      <c r="T120" s="92">
        <v>0</v>
      </c>
      <c r="U120" s="92">
        <v>0</v>
      </c>
      <c r="V120" s="92">
        <v>0</v>
      </c>
      <c r="W120" s="92">
        <v>0</v>
      </c>
      <c r="X120" s="92">
        <v>0</v>
      </c>
      <c r="Y120" s="92">
        <v>0</v>
      </c>
      <c r="Z120" s="92">
        <v>0</v>
      </c>
      <c r="AA120" s="92">
        <v>0</v>
      </c>
      <c r="AB120" s="92">
        <v>0</v>
      </c>
      <c r="AC120" s="92">
        <v>0</v>
      </c>
      <c r="AD120" s="92">
        <v>0</v>
      </c>
      <c r="AE120" s="92">
        <v>0</v>
      </c>
      <c r="AF120" s="92">
        <v>0</v>
      </c>
      <c r="AG120" s="92">
        <v>0</v>
      </c>
      <c r="AH120" s="92">
        <v>0</v>
      </c>
      <c r="AI120" s="338">
        <v>0</v>
      </c>
      <c r="AJ120" s="338">
        <f t="shared" si="42"/>
        <v>0</v>
      </c>
      <c r="AK120" s="338">
        <v>0</v>
      </c>
      <c r="AL120" s="338">
        <f t="shared" si="43"/>
        <v>0</v>
      </c>
      <c r="AM120" s="338">
        <f t="shared" si="44"/>
        <v>0</v>
      </c>
      <c r="AN120" s="338">
        <v>0</v>
      </c>
      <c r="AO120" s="338">
        <f t="shared" si="45"/>
        <v>0</v>
      </c>
      <c r="AP120" s="338">
        <v>0</v>
      </c>
    </row>
    <row r="121" spans="1:42" ht="24">
      <c r="A121" s="100" t="s">
        <v>251</v>
      </c>
      <c r="B121" s="92">
        <v>0</v>
      </c>
      <c r="C121" s="92">
        <v>0</v>
      </c>
      <c r="D121" s="92">
        <v>0</v>
      </c>
      <c r="E121" s="92">
        <v>0</v>
      </c>
      <c r="F121" s="92">
        <v>0.86932190089097061</v>
      </c>
      <c r="G121" s="92">
        <v>6.4774336466078868</v>
      </c>
      <c r="H121" s="92">
        <v>15.794086724505979</v>
      </c>
      <c r="I121" s="92">
        <v>20.325775464477953</v>
      </c>
      <c r="J121" s="92">
        <v>20.33422309424159</v>
      </c>
      <c r="K121" s="92">
        <v>20.341942843576266</v>
      </c>
      <c r="L121" s="92">
        <v>19.474915276307055</v>
      </c>
      <c r="M121" s="92">
        <v>18.658303041611539</v>
      </c>
      <c r="N121" s="92">
        <v>18.226635505613419</v>
      </c>
      <c r="O121" s="92">
        <v>19.136640505014995</v>
      </c>
      <c r="P121" s="92">
        <v>20.262446513536208</v>
      </c>
      <c r="Q121" s="92">
        <v>20.03579742831138</v>
      </c>
      <c r="R121" s="92">
        <v>19.785661586734676</v>
      </c>
      <c r="S121" s="92">
        <v>19.518328697702625</v>
      </c>
      <c r="T121" s="92">
        <v>19.266447283089413</v>
      </c>
      <c r="U121" s="92">
        <v>18.245128814103111</v>
      </c>
      <c r="V121" s="92">
        <v>18.780563038913414</v>
      </c>
      <c r="W121" s="92">
        <v>19.392358400771482</v>
      </c>
      <c r="X121" s="92">
        <v>17.238857560325616</v>
      </c>
      <c r="Y121" s="92">
        <v>15.818350828051546</v>
      </c>
      <c r="Z121" s="92">
        <v>15.865176987122707</v>
      </c>
      <c r="AA121" s="92">
        <v>15.774527465918888</v>
      </c>
      <c r="AB121" s="92">
        <v>15.54286135928</v>
      </c>
      <c r="AC121" s="92">
        <v>15.457995388285571</v>
      </c>
      <c r="AD121" s="92">
        <v>8.4333936826294309</v>
      </c>
      <c r="AE121" s="92">
        <v>0.94905699362135543</v>
      </c>
      <c r="AF121" s="92">
        <v>4.7807280016747118E-2</v>
      </c>
      <c r="AG121" s="92">
        <v>0.10644026421975847</v>
      </c>
      <c r="AH121" s="92">
        <v>0.10644026421975847</v>
      </c>
      <c r="AI121" s="338">
        <v>5.6299119345880451E-2</v>
      </c>
      <c r="AJ121" s="338">
        <f t="shared" si="42"/>
        <v>5.630211940135741E-2</v>
      </c>
      <c r="AK121" s="338">
        <v>5.630511945683437E-2</v>
      </c>
      <c r="AL121" s="338">
        <f t="shared" si="43"/>
        <v>5.6308181348675962E-2</v>
      </c>
      <c r="AM121" s="338">
        <f t="shared" si="44"/>
        <v>5.6311243240517554E-2</v>
      </c>
      <c r="AN121" s="338">
        <v>5.6314305132359146E-2</v>
      </c>
      <c r="AO121" s="338">
        <f t="shared" si="45"/>
        <v>5.6317588909699907E-2</v>
      </c>
      <c r="AP121" s="338">
        <v>5.6320872687040668E-2</v>
      </c>
    </row>
    <row r="122" spans="1:42">
      <c r="A122" s="124" t="s">
        <v>461</v>
      </c>
      <c r="B122" s="127">
        <v>0</v>
      </c>
      <c r="C122" s="127">
        <v>0</v>
      </c>
      <c r="D122" s="127">
        <v>0</v>
      </c>
      <c r="E122" s="125">
        <v>0</v>
      </c>
      <c r="F122" s="125">
        <v>2.9510338715479651</v>
      </c>
      <c r="G122" s="125">
        <v>18.972892522608738</v>
      </c>
      <c r="H122" s="125">
        <v>45.954979320341522</v>
      </c>
      <c r="I122" s="125">
        <v>70.684442348573256</v>
      </c>
      <c r="J122" s="125">
        <v>93.021709755372129</v>
      </c>
      <c r="K122" s="125">
        <v>119.56750173305196</v>
      </c>
      <c r="L122" s="125">
        <v>150.41343363205959</v>
      </c>
      <c r="M122" s="125">
        <v>183.27525009213718</v>
      </c>
      <c r="N122" s="125">
        <v>216.95715914833221</v>
      </c>
      <c r="O122" s="125">
        <v>251.06332938890722</v>
      </c>
      <c r="P122" s="125">
        <v>283.68559753133695</v>
      </c>
      <c r="Q122" s="125">
        <v>307.85702788497031</v>
      </c>
      <c r="R122" s="125">
        <v>327.40406350215562</v>
      </c>
      <c r="S122" s="125">
        <v>352.80838938554456</v>
      </c>
      <c r="T122" s="125">
        <v>384.65464833419139</v>
      </c>
      <c r="U122" s="125">
        <v>397.07144258402417</v>
      </c>
      <c r="V122" s="125">
        <v>402.55438857319905</v>
      </c>
      <c r="W122" s="125">
        <v>419.71290977325509</v>
      </c>
      <c r="X122" s="125">
        <v>439.13078230486747</v>
      </c>
      <c r="Y122" s="125">
        <v>456.75022817411173</v>
      </c>
      <c r="Z122" s="125">
        <v>468.78142224138571</v>
      </c>
      <c r="AA122" s="125">
        <v>482.8517145890246</v>
      </c>
      <c r="AB122" s="125">
        <v>486.57454241278151</v>
      </c>
      <c r="AC122" s="125">
        <v>484.78316620890655</v>
      </c>
      <c r="AD122" s="125">
        <v>483.57803759387082</v>
      </c>
      <c r="AE122" s="125">
        <v>467.76333488151204</v>
      </c>
      <c r="AF122" s="125">
        <v>452.96096160084051</v>
      </c>
      <c r="AG122" s="125">
        <v>445.96330770530977</v>
      </c>
      <c r="AH122" s="125">
        <v>411.36834020809789</v>
      </c>
      <c r="AI122" s="349">
        <v>408.71995121779759</v>
      </c>
      <c r="AJ122" s="349">
        <f t="shared" ref="AJ122:AO122" si="46">SUM(AJ117:AJ121)</f>
        <v>384.52122450665769</v>
      </c>
      <c r="AK122" s="349">
        <v>360.32249779551779</v>
      </c>
      <c r="AL122" s="349">
        <f t="shared" si="46"/>
        <v>336.23316681108327</v>
      </c>
      <c r="AM122" s="349">
        <f t="shared" si="46"/>
        <v>312.14383582664868</v>
      </c>
      <c r="AN122" s="349">
        <v>288.0545048422141</v>
      </c>
      <c r="AO122" s="349">
        <f t="shared" si="46"/>
        <v>261.626512715959</v>
      </c>
      <c r="AP122" s="349">
        <v>235.19852058970392</v>
      </c>
    </row>
    <row r="123" spans="1:42">
      <c r="A123" s="128" t="s">
        <v>462</v>
      </c>
      <c r="B123" s="130">
        <v>0</v>
      </c>
      <c r="C123" s="130">
        <v>0</v>
      </c>
      <c r="D123" s="130">
        <v>0</v>
      </c>
      <c r="E123" s="129">
        <v>0.29337282612128684</v>
      </c>
      <c r="F123" s="129">
        <v>32.506453085492375</v>
      </c>
      <c r="G123" s="129">
        <v>115.96717485936696</v>
      </c>
      <c r="H123" s="129">
        <v>226.97939161978783</v>
      </c>
      <c r="I123" s="129">
        <v>352.49733235333963</v>
      </c>
      <c r="J123" s="129">
        <v>516.57724770315167</v>
      </c>
      <c r="K123" s="129">
        <v>771.3366082390213</v>
      </c>
      <c r="L123" s="129">
        <v>1052.447197943166</v>
      </c>
      <c r="M123" s="129">
        <v>1308.6301389151213</v>
      </c>
      <c r="N123" s="129">
        <v>1567.4894555062779</v>
      </c>
      <c r="O123" s="129">
        <v>1860.0955823673839</v>
      </c>
      <c r="P123" s="129">
        <v>2147.5421572494588</v>
      </c>
      <c r="Q123" s="129">
        <v>2193.83256532009</v>
      </c>
      <c r="R123" s="129">
        <v>2591.9412560366873</v>
      </c>
      <c r="S123" s="129">
        <v>2839.2904575960692</v>
      </c>
      <c r="T123" s="129">
        <v>3071.2037795535971</v>
      </c>
      <c r="U123" s="129">
        <v>3073.8089806839607</v>
      </c>
      <c r="V123" s="129">
        <v>3286.367762102801</v>
      </c>
      <c r="W123" s="129">
        <v>3357.2319372467109</v>
      </c>
      <c r="X123" s="129">
        <v>3441.1372534200805</v>
      </c>
      <c r="Y123" s="129">
        <v>3489.6537185198836</v>
      </c>
      <c r="Z123" s="129">
        <v>3487.0549921901984</v>
      </c>
      <c r="AA123" s="129">
        <v>3365.9377375804911</v>
      </c>
      <c r="AB123" s="129">
        <v>3327.1107126278184</v>
      </c>
      <c r="AC123" s="129">
        <v>3152.5899811905438</v>
      </c>
      <c r="AD123" s="129">
        <v>2890.5894630563448</v>
      </c>
      <c r="AE123" s="129">
        <v>2628.8674834442022</v>
      </c>
      <c r="AF123" s="129">
        <v>2377.7018335617263</v>
      </c>
      <c r="AG123" s="129">
        <v>2192.8361920232546</v>
      </c>
      <c r="AH123" s="129">
        <v>1942.0069721275759</v>
      </c>
      <c r="AI123" s="350">
        <v>1743.8627699298138</v>
      </c>
      <c r="AJ123" s="350">
        <f t="shared" ref="AJ123:AO123" si="47">+AJ116+AJ122</f>
        <v>1514.2610285592664</v>
      </c>
      <c r="AK123" s="350">
        <v>1284.6592871887183</v>
      </c>
      <c r="AL123" s="350">
        <f t="shared" si="47"/>
        <v>1118.2372839534164</v>
      </c>
      <c r="AM123" s="350">
        <f t="shared" si="47"/>
        <v>951.81528071811408</v>
      </c>
      <c r="AN123" s="350">
        <v>785.39327748281175</v>
      </c>
      <c r="AO123" s="350">
        <f t="shared" si="47"/>
        <v>662.83838168608042</v>
      </c>
      <c r="AP123" s="350">
        <v>540.28348588934921</v>
      </c>
    </row>
    <row r="124" spans="1:42">
      <c r="A124" s="131"/>
      <c r="B124" s="131"/>
      <c r="C124" s="131"/>
      <c r="D124" s="131"/>
      <c r="E124" s="131"/>
      <c r="F124" s="131"/>
      <c r="G124" s="131"/>
      <c r="H124" s="131"/>
      <c r="I124" s="131"/>
      <c r="J124" s="131"/>
      <c r="K124" s="131"/>
      <c r="L124" s="131"/>
      <c r="M124" s="131"/>
      <c r="N124" s="131"/>
      <c r="O124" s="131"/>
      <c r="P124" s="131"/>
      <c r="Q124" s="131"/>
      <c r="R124" s="131"/>
      <c r="S124" s="131"/>
      <c r="T124" s="131"/>
      <c r="U124" s="131"/>
      <c r="V124" s="131"/>
      <c r="W124" s="150"/>
      <c r="X124" s="150"/>
      <c r="Y124" s="150"/>
      <c r="Z124" s="150"/>
      <c r="AA124" s="150"/>
      <c r="AB124" s="150"/>
      <c r="AC124" s="150"/>
      <c r="AD124" s="150"/>
      <c r="AE124" s="150"/>
      <c r="AF124" s="131"/>
      <c r="AG124" s="131"/>
      <c r="AH124" s="131"/>
      <c r="AI124" s="36">
        <v>0</v>
      </c>
      <c r="AJ124" s="36"/>
      <c r="AK124" s="36">
        <v>0</v>
      </c>
      <c r="AL124" s="36"/>
      <c r="AM124" s="36"/>
      <c r="AN124" s="36">
        <v>0</v>
      </c>
      <c r="AO124" s="36"/>
      <c r="AP124" s="36">
        <v>0</v>
      </c>
    </row>
    <row r="125" spans="1:42" ht="60">
      <c r="A125" s="132" t="s">
        <v>463</v>
      </c>
      <c r="B125" s="133">
        <v>0</v>
      </c>
      <c r="C125" s="133">
        <v>0</v>
      </c>
      <c r="D125" s="133">
        <v>0</v>
      </c>
      <c r="E125" s="133">
        <v>0</v>
      </c>
      <c r="F125" s="133">
        <v>0</v>
      </c>
      <c r="G125" s="133">
        <v>0</v>
      </c>
      <c r="H125" s="133">
        <v>0</v>
      </c>
      <c r="I125" s="133">
        <v>0</v>
      </c>
      <c r="J125" s="133">
        <v>0</v>
      </c>
      <c r="K125" s="133">
        <v>0</v>
      </c>
      <c r="L125" s="133">
        <v>0</v>
      </c>
      <c r="M125" s="133">
        <v>0</v>
      </c>
      <c r="N125" s="133">
        <v>0</v>
      </c>
      <c r="O125" s="133">
        <v>0</v>
      </c>
      <c r="P125" s="133">
        <v>0</v>
      </c>
      <c r="Q125" s="133">
        <v>0</v>
      </c>
      <c r="R125" s="133">
        <v>0</v>
      </c>
      <c r="S125" s="133">
        <v>0</v>
      </c>
      <c r="T125" s="133">
        <v>0</v>
      </c>
      <c r="U125" s="133">
        <v>0</v>
      </c>
      <c r="V125" s="133">
        <v>0</v>
      </c>
      <c r="W125" s="133">
        <v>0</v>
      </c>
      <c r="X125" s="133">
        <v>0</v>
      </c>
      <c r="Y125" s="133">
        <v>0</v>
      </c>
      <c r="Z125" s="133">
        <v>0</v>
      </c>
      <c r="AA125" s="133">
        <v>0</v>
      </c>
      <c r="AB125" s="133">
        <v>0</v>
      </c>
      <c r="AC125" s="133">
        <v>0</v>
      </c>
      <c r="AD125" s="133">
        <v>0</v>
      </c>
      <c r="AE125" s="133">
        <v>0</v>
      </c>
      <c r="AF125" s="133">
        <v>0</v>
      </c>
      <c r="AG125" s="133">
        <v>0</v>
      </c>
      <c r="AH125" s="133">
        <v>0</v>
      </c>
      <c r="AI125" s="338">
        <v>0</v>
      </c>
      <c r="AJ125" s="338">
        <f t="shared" ref="AJ125" si="48">AI125+(AK125-AI125)/2</f>
        <v>0</v>
      </c>
      <c r="AK125" s="338">
        <v>0</v>
      </c>
      <c r="AL125" s="338">
        <f t="shared" ref="AL125" si="49">AK125+(AN125-AK125)/3</f>
        <v>0</v>
      </c>
      <c r="AM125" s="338">
        <f t="shared" ref="AM125" si="50">AK125+(AN125-AK125)*2/3</f>
        <v>0</v>
      </c>
      <c r="AN125" s="338">
        <v>0</v>
      </c>
      <c r="AO125" s="338">
        <f t="shared" ref="AO125" si="51">AN125+(AP125-AN125)/2</f>
        <v>0</v>
      </c>
      <c r="AP125" s="338">
        <v>0</v>
      </c>
    </row>
    <row r="126" spans="1:42" ht="60">
      <c r="A126" s="132" t="s">
        <v>464</v>
      </c>
      <c r="B126" s="133">
        <v>0</v>
      </c>
      <c r="C126" s="133">
        <v>0</v>
      </c>
      <c r="D126" s="133">
        <v>0</v>
      </c>
      <c r="E126" s="133">
        <v>0</v>
      </c>
      <c r="F126" s="133">
        <v>0</v>
      </c>
      <c r="G126" s="133">
        <v>0</v>
      </c>
      <c r="H126" s="133">
        <v>0</v>
      </c>
      <c r="I126" s="133">
        <v>0</v>
      </c>
      <c r="J126" s="133">
        <v>0</v>
      </c>
      <c r="K126" s="133">
        <v>0</v>
      </c>
      <c r="L126" s="133">
        <v>0</v>
      </c>
      <c r="M126" s="133">
        <v>0</v>
      </c>
      <c r="N126" s="133">
        <v>0</v>
      </c>
      <c r="O126" s="133">
        <v>0</v>
      </c>
      <c r="P126" s="133">
        <v>0</v>
      </c>
      <c r="Q126" s="133">
        <v>0</v>
      </c>
      <c r="R126" s="133">
        <v>0</v>
      </c>
      <c r="S126" s="133">
        <v>0</v>
      </c>
      <c r="T126" s="133">
        <v>0</v>
      </c>
      <c r="U126" s="133">
        <v>0</v>
      </c>
      <c r="V126" s="133">
        <v>0</v>
      </c>
      <c r="W126" s="133">
        <v>0</v>
      </c>
      <c r="X126" s="133">
        <v>0</v>
      </c>
      <c r="Y126" s="133">
        <v>0</v>
      </c>
      <c r="Z126" s="133">
        <v>0</v>
      </c>
      <c r="AA126" s="133">
        <v>0</v>
      </c>
      <c r="AB126" s="133">
        <v>0</v>
      </c>
      <c r="AC126" s="133">
        <v>0</v>
      </c>
      <c r="AD126" s="133">
        <v>0</v>
      </c>
      <c r="AE126" s="133">
        <v>0</v>
      </c>
      <c r="AF126" s="133">
        <v>0</v>
      </c>
      <c r="AG126" s="133">
        <v>0</v>
      </c>
      <c r="AH126" s="133">
        <v>0</v>
      </c>
      <c r="AI126" s="338">
        <v>0</v>
      </c>
      <c r="AJ126" s="338">
        <f>AI126+(AK126-AI126)/2</f>
        <v>0</v>
      </c>
      <c r="AK126" s="338">
        <v>0</v>
      </c>
      <c r="AL126" s="338">
        <f>AK126+(AN126-AK126)/3</f>
        <v>0</v>
      </c>
      <c r="AM126" s="338">
        <f>AK126+(AN126-AK126)*2/3</f>
        <v>0</v>
      </c>
      <c r="AN126" s="338">
        <v>0</v>
      </c>
      <c r="AO126" s="338">
        <f>AN126+(AP126-AN126)/2</f>
        <v>0</v>
      </c>
      <c r="AP126" s="338">
        <v>0</v>
      </c>
    </row>
    <row r="127" spans="1:42" ht="60">
      <c r="A127" s="132" t="s">
        <v>465</v>
      </c>
      <c r="B127" s="133">
        <v>0</v>
      </c>
      <c r="C127" s="133">
        <v>0</v>
      </c>
      <c r="D127" s="133">
        <v>0</v>
      </c>
      <c r="E127" s="133">
        <v>0</v>
      </c>
      <c r="F127" s="133">
        <v>5.0183898499784796</v>
      </c>
      <c r="G127" s="133">
        <v>37.392693354130749</v>
      </c>
      <c r="H127" s="133">
        <v>91.175529371462915</v>
      </c>
      <c r="I127" s="133">
        <v>117.33589730033827</v>
      </c>
      <c r="J127" s="133">
        <v>117.38466347017571</v>
      </c>
      <c r="K127" s="133">
        <v>117.42922775834766</v>
      </c>
      <c r="L127" s="133">
        <v>112.42408255404999</v>
      </c>
      <c r="M127" s="133">
        <v>107.70997314789784</v>
      </c>
      <c r="N127" s="133">
        <v>105.21805849695212</v>
      </c>
      <c r="O127" s="133">
        <v>110.47130225826318</v>
      </c>
      <c r="P127" s="133">
        <v>116.97031423577944</v>
      </c>
      <c r="Q127" s="133">
        <v>115.66192264040676</v>
      </c>
      <c r="R127" s="133">
        <v>114.21794755223993</v>
      </c>
      <c r="S127" s="133">
        <v>112.67469797402397</v>
      </c>
      <c r="T127" s="133">
        <v>111.22064610532304</v>
      </c>
      <c r="U127" s="133">
        <v>105.32481599555199</v>
      </c>
      <c r="V127" s="133">
        <v>108.41575121340989</v>
      </c>
      <c r="W127" s="133">
        <v>111.94750122576527</v>
      </c>
      <c r="X127" s="133">
        <v>99.515849902432223</v>
      </c>
      <c r="Y127" s="133">
        <v>91.315600305862574</v>
      </c>
      <c r="Z127" s="133">
        <v>91.585916653760108</v>
      </c>
      <c r="AA127" s="133">
        <v>91.062618394912178</v>
      </c>
      <c r="AB127" s="133">
        <v>89.725136854832684</v>
      </c>
      <c r="AC127" s="133">
        <v>89.235177831234566</v>
      </c>
      <c r="AD127" s="133">
        <v>48.683988056012439</v>
      </c>
      <c r="AE127" s="133">
        <v>5.4788575300391553</v>
      </c>
      <c r="AF127" s="133">
        <v>0.27615620231457494</v>
      </c>
      <c r="AG127" s="133">
        <v>0.61445448578024153</v>
      </c>
      <c r="AH127" s="133">
        <v>0.61445448578024153</v>
      </c>
      <c r="AI127" s="338">
        <v>0.32520471055178118</v>
      </c>
      <c r="AJ127" s="338">
        <f t="shared" ref="AJ127:AJ128" si="52">AI127+(AK127-AI127)/2</f>
        <v>0.32522237466204756</v>
      </c>
      <c r="AK127" s="338">
        <v>0.32524003877231394</v>
      </c>
      <c r="AL127" s="338">
        <f t="shared" ref="AL127:AL128" si="53">AK127+(AN127-AK127)/3</f>
        <v>0.32525806697063525</v>
      </c>
      <c r="AM127" s="338">
        <f t="shared" ref="AM127:AM128" si="54">AK127+(AN127-AK127)*2/3</f>
        <v>0.32527609516895661</v>
      </c>
      <c r="AN127" s="338">
        <v>0.32529412336727792</v>
      </c>
      <c r="AO127" s="338">
        <f t="shared" ref="AO127:AO128" si="55">AN127+(AP127-AN127)/2</f>
        <v>0.32531345801141465</v>
      </c>
      <c r="AP127" s="338">
        <v>0.32533279265555132</v>
      </c>
    </row>
    <row r="128" spans="1:42" ht="36">
      <c r="A128" s="134" t="s">
        <v>466</v>
      </c>
      <c r="B128" s="135">
        <v>0</v>
      </c>
      <c r="C128" s="135">
        <v>0</v>
      </c>
      <c r="D128" s="135">
        <v>0</v>
      </c>
      <c r="E128" s="135">
        <v>0</v>
      </c>
      <c r="F128" s="135">
        <v>0</v>
      </c>
      <c r="G128" s="135">
        <v>0</v>
      </c>
      <c r="H128" s="135">
        <v>0</v>
      </c>
      <c r="I128" s="135">
        <v>0</v>
      </c>
      <c r="J128" s="135">
        <v>0</v>
      </c>
      <c r="K128" s="135">
        <v>0</v>
      </c>
      <c r="L128" s="135">
        <v>0</v>
      </c>
      <c r="M128" s="135">
        <v>0</v>
      </c>
      <c r="N128" s="135">
        <v>0</v>
      </c>
      <c r="O128" s="135">
        <v>0</v>
      </c>
      <c r="P128" s="135">
        <v>0</v>
      </c>
      <c r="Q128" s="135">
        <v>0</v>
      </c>
      <c r="R128" s="135">
        <v>0</v>
      </c>
      <c r="S128" s="135">
        <v>0</v>
      </c>
      <c r="T128" s="135">
        <v>0</v>
      </c>
      <c r="U128" s="135">
        <v>0</v>
      </c>
      <c r="V128" s="135">
        <v>0</v>
      </c>
      <c r="W128" s="135">
        <v>0</v>
      </c>
      <c r="X128" s="135">
        <v>0</v>
      </c>
      <c r="Y128" s="135">
        <v>0</v>
      </c>
      <c r="Z128" s="135">
        <v>0</v>
      </c>
      <c r="AA128" s="135">
        <v>0</v>
      </c>
      <c r="AB128" s="135">
        <v>0</v>
      </c>
      <c r="AC128" s="135">
        <v>0</v>
      </c>
      <c r="AD128" s="135">
        <v>0</v>
      </c>
      <c r="AE128" s="135">
        <v>0</v>
      </c>
      <c r="AF128" s="135">
        <v>0</v>
      </c>
      <c r="AG128" s="135">
        <v>0</v>
      </c>
      <c r="AH128" s="135">
        <v>0</v>
      </c>
      <c r="AI128" s="338">
        <v>0</v>
      </c>
      <c r="AJ128" s="338">
        <f t="shared" si="52"/>
        <v>0</v>
      </c>
      <c r="AK128" s="338">
        <v>0</v>
      </c>
      <c r="AL128" s="338">
        <f t="shared" si="53"/>
        <v>0</v>
      </c>
      <c r="AM128" s="338">
        <f t="shared" si="54"/>
        <v>0</v>
      </c>
      <c r="AN128" s="338">
        <v>0</v>
      </c>
      <c r="AO128" s="338">
        <f t="shared" si="55"/>
        <v>0</v>
      </c>
      <c r="AP128" s="338">
        <v>0</v>
      </c>
    </row>
    <row r="129" spans="1:42">
      <c r="A129" s="136" t="s">
        <v>467</v>
      </c>
      <c r="B129" s="138">
        <v>0</v>
      </c>
      <c r="C129" s="138">
        <v>0</v>
      </c>
      <c r="D129" s="138">
        <v>0</v>
      </c>
      <c r="E129" s="138">
        <v>0</v>
      </c>
      <c r="F129" s="137">
        <v>5.0183898499784796</v>
      </c>
      <c r="G129" s="137">
        <v>37.392693354130749</v>
      </c>
      <c r="H129" s="137">
        <v>91.175529371462915</v>
      </c>
      <c r="I129" s="137">
        <v>117.33589730033827</v>
      </c>
      <c r="J129" s="137">
        <v>117.38466347017571</v>
      </c>
      <c r="K129" s="137">
        <v>117.42922775834766</v>
      </c>
      <c r="L129" s="137">
        <v>112.42408255404999</v>
      </c>
      <c r="M129" s="137">
        <v>107.70997314789784</v>
      </c>
      <c r="N129" s="137">
        <v>105.21805849695212</v>
      </c>
      <c r="O129" s="137">
        <v>110.47130225826318</v>
      </c>
      <c r="P129" s="137">
        <v>116.97031423577944</v>
      </c>
      <c r="Q129" s="137">
        <v>115.66192264040676</v>
      </c>
      <c r="R129" s="137">
        <v>114.21794755223993</v>
      </c>
      <c r="S129" s="137">
        <v>112.67469797402397</v>
      </c>
      <c r="T129" s="137">
        <v>111.22064610532304</v>
      </c>
      <c r="U129" s="137">
        <v>105.32481599555199</v>
      </c>
      <c r="V129" s="137">
        <v>108.41575121340989</v>
      </c>
      <c r="W129" s="137">
        <v>111.94750122576527</v>
      </c>
      <c r="X129" s="137">
        <v>99.515849902432223</v>
      </c>
      <c r="Y129" s="137">
        <v>91.315600305862574</v>
      </c>
      <c r="Z129" s="137">
        <v>91.585916653760108</v>
      </c>
      <c r="AA129" s="137">
        <v>91.062618394912178</v>
      </c>
      <c r="AB129" s="137">
        <v>89.725136854832684</v>
      </c>
      <c r="AC129" s="137">
        <v>89.235177831234566</v>
      </c>
      <c r="AD129" s="137">
        <v>48.683988056012439</v>
      </c>
      <c r="AE129" s="137">
        <v>5.4788575300391553</v>
      </c>
      <c r="AF129" s="137">
        <v>0.27615620231457494</v>
      </c>
      <c r="AG129" s="137">
        <v>0.61445448578024153</v>
      </c>
      <c r="AH129" s="137">
        <v>0.61445448578024153</v>
      </c>
      <c r="AI129" s="351">
        <v>0.32520471055178118</v>
      </c>
      <c r="AJ129" s="351">
        <f t="shared" ref="AJ129:AO129" si="56">SUM(AJ125:AJ128)</f>
        <v>0.32522237466204756</v>
      </c>
      <c r="AK129" s="351">
        <v>0.32524003877231394</v>
      </c>
      <c r="AL129" s="351">
        <f t="shared" si="56"/>
        <v>0.32525806697063525</v>
      </c>
      <c r="AM129" s="351">
        <f t="shared" si="56"/>
        <v>0.32527609516895661</v>
      </c>
      <c r="AN129" s="351">
        <v>0.32529412336727792</v>
      </c>
      <c r="AO129" s="351">
        <f t="shared" si="56"/>
        <v>0.32531345801141465</v>
      </c>
      <c r="AP129" s="351">
        <v>0.32533279265555132</v>
      </c>
    </row>
    <row r="130" spans="1:42" ht="15">
      <c r="A130" s="422"/>
      <c r="B130" s="422"/>
      <c r="C130" s="422"/>
      <c r="D130" s="422"/>
      <c r="E130" s="422"/>
      <c r="F130" s="422"/>
      <c r="G130" s="422"/>
      <c r="H130" s="422"/>
      <c r="I130" s="422"/>
      <c r="J130" s="422"/>
      <c r="K130" s="422"/>
      <c r="L130" s="422"/>
      <c r="M130" s="422"/>
      <c r="N130" s="422"/>
      <c r="O130" s="422"/>
      <c r="P130" s="422"/>
      <c r="Q130" s="422"/>
      <c r="R130" s="422"/>
      <c r="S130" s="422"/>
      <c r="T130" s="422"/>
      <c r="U130" s="422"/>
      <c r="V130" s="422"/>
      <c r="W130" s="422"/>
      <c r="X130" s="422"/>
      <c r="Y130" s="422"/>
      <c r="Z130" s="422"/>
      <c r="AA130" s="422"/>
      <c r="AB130" s="422"/>
      <c r="AC130" s="70"/>
      <c r="AD130" s="70"/>
      <c r="AE130" s="70"/>
      <c r="AF130" s="70"/>
      <c r="AG130" s="70"/>
      <c r="AH130" s="70"/>
    </row>
    <row r="131" spans="1:42">
      <c r="A131" s="139" t="s">
        <v>468</v>
      </c>
      <c r="B131" s="140"/>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430" t="s">
        <v>393</v>
      </c>
      <c r="AJ131" s="430"/>
      <c r="AK131" s="430"/>
      <c r="AL131" s="430"/>
      <c r="AM131" s="430"/>
      <c r="AN131" s="430"/>
      <c r="AO131" s="430"/>
      <c r="AP131" s="430"/>
    </row>
    <row r="132" spans="1:42" ht="105.6">
      <c r="A132" s="75" t="s">
        <v>481</v>
      </c>
      <c r="B132" s="76">
        <v>1990</v>
      </c>
      <c r="C132" s="76">
        <v>1991</v>
      </c>
      <c r="D132" s="76">
        <v>1992</v>
      </c>
      <c r="E132" s="76">
        <v>1993</v>
      </c>
      <c r="F132" s="76">
        <v>1994</v>
      </c>
      <c r="G132" s="76">
        <v>1995</v>
      </c>
      <c r="H132" s="76">
        <v>1996</v>
      </c>
      <c r="I132" s="76">
        <v>1997</v>
      </c>
      <c r="J132" s="76">
        <v>1998</v>
      </c>
      <c r="K132" s="76">
        <v>1999</v>
      </c>
      <c r="L132" s="76">
        <v>2000</v>
      </c>
      <c r="M132" s="76">
        <v>2001</v>
      </c>
      <c r="N132" s="76">
        <v>2002</v>
      </c>
      <c r="O132" s="76">
        <v>2003</v>
      </c>
      <c r="P132" s="76">
        <v>2004</v>
      </c>
      <c r="Q132" s="76">
        <v>2005</v>
      </c>
      <c r="R132" s="76">
        <v>2006</v>
      </c>
      <c r="S132" s="76">
        <v>2007</v>
      </c>
      <c r="T132" s="76">
        <v>2008</v>
      </c>
      <c r="U132" s="76">
        <v>2009</v>
      </c>
      <c r="V132" s="76">
        <v>2010</v>
      </c>
      <c r="W132" s="76">
        <v>2011</v>
      </c>
      <c r="X132" s="76">
        <v>2012</v>
      </c>
      <c r="Y132" s="76">
        <v>2013</v>
      </c>
      <c r="Z132" s="76">
        <v>2014</v>
      </c>
      <c r="AA132" s="76">
        <v>2015</v>
      </c>
      <c r="AB132" s="76">
        <v>2016</v>
      </c>
      <c r="AC132" s="76">
        <v>2017</v>
      </c>
      <c r="AD132" s="76">
        <v>2018</v>
      </c>
      <c r="AE132" s="76">
        <v>2019</v>
      </c>
      <c r="AF132" s="76">
        <v>2020</v>
      </c>
      <c r="AG132" s="77">
        <v>2021</v>
      </c>
      <c r="AH132" s="77" t="s">
        <v>395</v>
      </c>
      <c r="AI132" s="76">
        <v>2023</v>
      </c>
      <c r="AJ132" s="152">
        <v>2024</v>
      </c>
      <c r="AK132" s="76">
        <v>2025</v>
      </c>
      <c r="AL132" s="152">
        <v>2026</v>
      </c>
      <c r="AM132" s="152">
        <v>2027</v>
      </c>
      <c r="AN132" s="76">
        <v>2028</v>
      </c>
      <c r="AO132" s="152">
        <v>2029</v>
      </c>
      <c r="AP132" s="76">
        <v>2030</v>
      </c>
    </row>
    <row r="133" spans="1:42">
      <c r="A133" s="100" t="s">
        <v>102</v>
      </c>
      <c r="B133" s="92">
        <v>0</v>
      </c>
      <c r="C133" s="92">
        <v>0</v>
      </c>
      <c r="D133" s="92">
        <v>0</v>
      </c>
      <c r="E133" s="92">
        <v>0</v>
      </c>
      <c r="F133" s="92">
        <v>0</v>
      </c>
      <c r="G133" s="92">
        <v>0</v>
      </c>
      <c r="H133" s="92">
        <v>0</v>
      </c>
      <c r="I133" s="92">
        <v>0</v>
      </c>
      <c r="J133" s="92">
        <v>0</v>
      </c>
      <c r="K133" s="92">
        <v>0</v>
      </c>
      <c r="L133" s="92">
        <v>0</v>
      </c>
      <c r="M133" s="92">
        <v>0</v>
      </c>
      <c r="N133" s="92">
        <v>0</v>
      </c>
      <c r="O133" s="92">
        <v>0</v>
      </c>
      <c r="P133" s="92">
        <v>0</v>
      </c>
      <c r="Q133" s="92">
        <v>0</v>
      </c>
      <c r="R133" s="92">
        <v>0</v>
      </c>
      <c r="S133" s="92">
        <v>0</v>
      </c>
      <c r="T133" s="92">
        <v>0</v>
      </c>
      <c r="U133" s="92">
        <v>0</v>
      </c>
      <c r="V133" s="92">
        <v>0</v>
      </c>
      <c r="W133" s="92">
        <v>0</v>
      </c>
      <c r="X133" s="92">
        <v>0</v>
      </c>
      <c r="Y133" s="92">
        <v>0</v>
      </c>
      <c r="Z133" s="92">
        <v>0</v>
      </c>
      <c r="AA133" s="92">
        <v>0</v>
      </c>
      <c r="AB133" s="92">
        <v>0</v>
      </c>
      <c r="AC133" s="92">
        <v>0</v>
      </c>
      <c r="AD133" s="92">
        <v>0</v>
      </c>
      <c r="AE133" s="92">
        <v>0</v>
      </c>
      <c r="AF133" s="92">
        <v>0</v>
      </c>
      <c r="AG133" s="92">
        <v>0</v>
      </c>
      <c r="AH133" s="92">
        <v>0</v>
      </c>
      <c r="AI133" s="143">
        <v>0</v>
      </c>
      <c r="AJ133" s="143">
        <v>0</v>
      </c>
      <c r="AK133" s="143">
        <v>0</v>
      </c>
      <c r="AL133" s="143">
        <v>0</v>
      </c>
      <c r="AM133" s="143">
        <v>0</v>
      </c>
      <c r="AN133" s="143">
        <v>0</v>
      </c>
      <c r="AO133" s="143">
        <v>0</v>
      </c>
      <c r="AP133" s="143">
        <v>0</v>
      </c>
    </row>
    <row r="134" spans="1:42">
      <c r="A134" s="100" t="s">
        <v>469</v>
      </c>
      <c r="B134" s="92">
        <v>0</v>
      </c>
      <c r="C134" s="92">
        <v>0</v>
      </c>
      <c r="D134" s="92">
        <v>0</v>
      </c>
      <c r="E134" s="92">
        <v>0</v>
      </c>
      <c r="F134" s="92">
        <v>0</v>
      </c>
      <c r="G134" s="92">
        <v>0</v>
      </c>
      <c r="H134" s="92">
        <v>0</v>
      </c>
      <c r="I134" s="92">
        <v>0</v>
      </c>
      <c r="J134" s="92">
        <v>0</v>
      </c>
      <c r="K134" s="92">
        <v>0</v>
      </c>
      <c r="L134" s="92">
        <v>0</v>
      </c>
      <c r="M134" s="92">
        <v>0</v>
      </c>
      <c r="N134" s="92">
        <v>0</v>
      </c>
      <c r="O134" s="92">
        <v>0</v>
      </c>
      <c r="P134" s="92">
        <v>0</v>
      </c>
      <c r="Q134" s="92">
        <v>0</v>
      </c>
      <c r="R134" s="92">
        <v>0</v>
      </c>
      <c r="S134" s="92">
        <v>0</v>
      </c>
      <c r="T134" s="92">
        <v>0</v>
      </c>
      <c r="U134" s="92">
        <v>0</v>
      </c>
      <c r="V134" s="92">
        <v>0</v>
      </c>
      <c r="W134" s="92">
        <v>0</v>
      </c>
      <c r="X134" s="92">
        <v>0</v>
      </c>
      <c r="Y134" s="92">
        <v>0</v>
      </c>
      <c r="Z134" s="92">
        <v>0</v>
      </c>
      <c r="AA134" s="92">
        <v>0</v>
      </c>
      <c r="AB134" s="92">
        <v>0</v>
      </c>
      <c r="AC134" s="92">
        <v>0</v>
      </c>
      <c r="AD134" s="92">
        <v>0</v>
      </c>
      <c r="AE134" s="92">
        <v>0</v>
      </c>
      <c r="AF134" s="92">
        <v>0</v>
      </c>
      <c r="AG134" s="92">
        <v>0</v>
      </c>
      <c r="AH134" s="92">
        <v>0</v>
      </c>
      <c r="AI134" s="143">
        <v>0</v>
      </c>
      <c r="AJ134" s="143">
        <v>0</v>
      </c>
      <c r="AK134" s="143">
        <v>0</v>
      </c>
      <c r="AL134" s="143">
        <v>0</v>
      </c>
      <c r="AM134" s="143">
        <v>0</v>
      </c>
      <c r="AN134" s="143">
        <v>0</v>
      </c>
      <c r="AO134" s="143">
        <v>0</v>
      </c>
      <c r="AP134" s="143">
        <v>0</v>
      </c>
    </row>
    <row r="135" spans="1:42">
      <c r="A135" s="100" t="s">
        <v>470</v>
      </c>
      <c r="B135" s="92">
        <v>0</v>
      </c>
      <c r="C135" s="92">
        <v>0</v>
      </c>
      <c r="D135" s="92">
        <v>0</v>
      </c>
      <c r="E135" s="92">
        <v>0</v>
      </c>
      <c r="F135" s="92">
        <v>0</v>
      </c>
      <c r="G135" s="92">
        <v>0</v>
      </c>
      <c r="H135" s="92">
        <v>0</v>
      </c>
      <c r="I135" s="92">
        <v>0</v>
      </c>
      <c r="J135" s="92">
        <v>0</v>
      </c>
      <c r="K135" s="92">
        <v>0</v>
      </c>
      <c r="L135" s="92">
        <v>0</v>
      </c>
      <c r="M135" s="92">
        <v>0</v>
      </c>
      <c r="N135" s="92">
        <v>0</v>
      </c>
      <c r="O135" s="92">
        <v>0</v>
      </c>
      <c r="P135" s="92">
        <v>0</v>
      </c>
      <c r="Q135" s="92">
        <v>0</v>
      </c>
      <c r="R135" s="92">
        <v>0</v>
      </c>
      <c r="S135" s="92">
        <v>0</v>
      </c>
      <c r="T135" s="92">
        <v>0</v>
      </c>
      <c r="U135" s="92">
        <v>0</v>
      </c>
      <c r="V135" s="92">
        <v>0</v>
      </c>
      <c r="W135" s="92">
        <v>0</v>
      </c>
      <c r="X135" s="92">
        <v>0</v>
      </c>
      <c r="Y135" s="92">
        <v>0</v>
      </c>
      <c r="Z135" s="92">
        <v>0</v>
      </c>
      <c r="AA135" s="92">
        <v>0</v>
      </c>
      <c r="AB135" s="92">
        <v>0</v>
      </c>
      <c r="AC135" s="92">
        <v>0</v>
      </c>
      <c r="AD135" s="92">
        <v>0</v>
      </c>
      <c r="AE135" s="92">
        <v>0</v>
      </c>
      <c r="AF135" s="92">
        <v>0</v>
      </c>
      <c r="AG135" s="92">
        <v>0</v>
      </c>
      <c r="AH135" s="92">
        <v>0</v>
      </c>
      <c r="AI135" s="143">
        <v>0</v>
      </c>
      <c r="AJ135" s="143">
        <v>0</v>
      </c>
      <c r="AK135" s="143">
        <v>0</v>
      </c>
      <c r="AL135" s="143">
        <v>0</v>
      </c>
      <c r="AM135" s="143">
        <v>0</v>
      </c>
      <c r="AN135" s="143">
        <v>0</v>
      </c>
      <c r="AO135" s="143">
        <v>0</v>
      </c>
      <c r="AP135" s="143">
        <v>0</v>
      </c>
    </row>
    <row r="136" spans="1:42">
      <c r="A136" s="100" t="s">
        <v>104</v>
      </c>
      <c r="B136" s="92">
        <v>0</v>
      </c>
      <c r="C136" s="92">
        <v>0</v>
      </c>
      <c r="D136" s="92">
        <v>0</v>
      </c>
      <c r="E136" s="92">
        <v>0</v>
      </c>
      <c r="F136" s="92">
        <v>0</v>
      </c>
      <c r="G136" s="92">
        <v>0</v>
      </c>
      <c r="H136" s="92">
        <v>0</v>
      </c>
      <c r="I136" s="92">
        <v>0</v>
      </c>
      <c r="J136" s="92">
        <v>0</v>
      </c>
      <c r="K136" s="92">
        <v>0</v>
      </c>
      <c r="L136" s="92">
        <v>0</v>
      </c>
      <c r="M136" s="92">
        <v>0</v>
      </c>
      <c r="N136" s="92">
        <v>0</v>
      </c>
      <c r="O136" s="92">
        <v>0</v>
      </c>
      <c r="P136" s="92">
        <v>0</v>
      </c>
      <c r="Q136" s="92">
        <v>0</v>
      </c>
      <c r="R136" s="92">
        <v>0</v>
      </c>
      <c r="S136" s="92">
        <v>0</v>
      </c>
      <c r="T136" s="92">
        <v>0</v>
      </c>
      <c r="U136" s="92">
        <v>0</v>
      </c>
      <c r="V136" s="92">
        <v>0</v>
      </c>
      <c r="W136" s="92">
        <v>0</v>
      </c>
      <c r="X136" s="92">
        <v>0</v>
      </c>
      <c r="Y136" s="92">
        <v>0</v>
      </c>
      <c r="Z136" s="92">
        <v>0</v>
      </c>
      <c r="AA136" s="92">
        <v>0</v>
      </c>
      <c r="AB136" s="92">
        <v>0</v>
      </c>
      <c r="AC136" s="92">
        <v>0</v>
      </c>
      <c r="AD136" s="92">
        <v>0</v>
      </c>
      <c r="AE136" s="92">
        <v>0</v>
      </c>
      <c r="AF136" s="92">
        <v>0</v>
      </c>
      <c r="AG136" s="92">
        <v>0</v>
      </c>
      <c r="AH136" s="92">
        <v>0</v>
      </c>
      <c r="AI136" s="143">
        <v>0</v>
      </c>
      <c r="AJ136" s="143">
        <v>0</v>
      </c>
      <c r="AK136" s="143">
        <v>0</v>
      </c>
      <c r="AL136" s="143">
        <v>0</v>
      </c>
      <c r="AM136" s="143">
        <v>0</v>
      </c>
      <c r="AN136" s="143">
        <v>0</v>
      </c>
      <c r="AO136" s="143">
        <v>0</v>
      </c>
      <c r="AP136" s="143">
        <v>0</v>
      </c>
    </row>
    <row r="137" spans="1:42" ht="24">
      <c r="A137" s="100" t="s">
        <v>105</v>
      </c>
      <c r="B137" s="92">
        <v>0</v>
      </c>
      <c r="C137" s="92">
        <v>0</v>
      </c>
      <c r="D137" s="92">
        <v>0</v>
      </c>
      <c r="E137" s="92">
        <v>0</v>
      </c>
      <c r="F137" s="92">
        <v>0</v>
      </c>
      <c r="G137" s="92">
        <v>0</v>
      </c>
      <c r="H137" s="92">
        <v>0</v>
      </c>
      <c r="I137" s="92">
        <v>0</v>
      </c>
      <c r="J137" s="92">
        <v>0</v>
      </c>
      <c r="K137" s="92">
        <v>0</v>
      </c>
      <c r="L137" s="92">
        <v>0</v>
      </c>
      <c r="M137" s="92">
        <v>0</v>
      </c>
      <c r="N137" s="92">
        <v>0</v>
      </c>
      <c r="O137" s="92">
        <v>0</v>
      </c>
      <c r="P137" s="92">
        <v>0</v>
      </c>
      <c r="Q137" s="92">
        <v>0</v>
      </c>
      <c r="R137" s="92">
        <v>0</v>
      </c>
      <c r="S137" s="92">
        <v>0</v>
      </c>
      <c r="T137" s="92">
        <v>0</v>
      </c>
      <c r="U137" s="92">
        <v>0</v>
      </c>
      <c r="V137" s="92">
        <v>0</v>
      </c>
      <c r="W137" s="92">
        <v>0</v>
      </c>
      <c r="X137" s="92">
        <v>0</v>
      </c>
      <c r="Y137" s="92">
        <v>0</v>
      </c>
      <c r="Z137" s="92">
        <v>0</v>
      </c>
      <c r="AA137" s="92">
        <v>0</v>
      </c>
      <c r="AB137" s="92">
        <v>0</v>
      </c>
      <c r="AC137" s="92">
        <v>0</v>
      </c>
      <c r="AD137" s="92">
        <v>0</v>
      </c>
      <c r="AE137" s="92">
        <v>0</v>
      </c>
      <c r="AF137" s="92">
        <v>0</v>
      </c>
      <c r="AG137" s="92">
        <v>0</v>
      </c>
      <c r="AH137" s="92">
        <v>0</v>
      </c>
      <c r="AI137" s="143">
        <v>0</v>
      </c>
      <c r="AJ137" s="143">
        <v>0</v>
      </c>
      <c r="AK137" s="143">
        <v>0</v>
      </c>
      <c r="AL137" s="143">
        <v>0</v>
      </c>
      <c r="AM137" s="143">
        <v>0</v>
      </c>
      <c r="AN137" s="143">
        <v>0</v>
      </c>
      <c r="AO137" s="143">
        <v>0</v>
      </c>
      <c r="AP137" s="143">
        <v>0</v>
      </c>
    </row>
    <row r="138" spans="1:42">
      <c r="A138" s="100" t="s">
        <v>471</v>
      </c>
      <c r="B138" s="92">
        <v>0</v>
      </c>
      <c r="C138" s="92">
        <v>0</v>
      </c>
      <c r="D138" s="92">
        <v>0</v>
      </c>
      <c r="E138" s="92">
        <v>0</v>
      </c>
      <c r="F138" s="92">
        <v>0</v>
      </c>
      <c r="G138" s="92">
        <v>0</v>
      </c>
      <c r="H138" s="92">
        <v>0</v>
      </c>
      <c r="I138" s="92">
        <v>0</v>
      </c>
      <c r="J138" s="92">
        <v>0</v>
      </c>
      <c r="K138" s="92">
        <v>0</v>
      </c>
      <c r="L138" s="92">
        <v>0</v>
      </c>
      <c r="M138" s="92">
        <v>0</v>
      </c>
      <c r="N138" s="92">
        <v>0</v>
      </c>
      <c r="O138" s="92">
        <v>0</v>
      </c>
      <c r="P138" s="92">
        <v>0</v>
      </c>
      <c r="Q138" s="92">
        <v>0</v>
      </c>
      <c r="R138" s="92">
        <v>0</v>
      </c>
      <c r="S138" s="92">
        <v>0</v>
      </c>
      <c r="T138" s="92">
        <v>0</v>
      </c>
      <c r="U138" s="92">
        <v>0</v>
      </c>
      <c r="V138" s="92">
        <v>0</v>
      </c>
      <c r="W138" s="92">
        <v>0</v>
      </c>
      <c r="X138" s="92">
        <v>0</v>
      </c>
      <c r="Y138" s="92">
        <v>0</v>
      </c>
      <c r="Z138" s="92">
        <v>0</v>
      </c>
      <c r="AA138" s="92">
        <v>0</v>
      </c>
      <c r="AB138" s="92">
        <v>0</v>
      </c>
      <c r="AC138" s="92">
        <v>0</v>
      </c>
      <c r="AD138" s="92">
        <v>0</v>
      </c>
      <c r="AE138" s="92">
        <v>0</v>
      </c>
      <c r="AF138" s="92">
        <v>0</v>
      </c>
      <c r="AG138" s="92">
        <v>0</v>
      </c>
      <c r="AH138" s="92">
        <v>0</v>
      </c>
      <c r="AI138" s="143">
        <v>0</v>
      </c>
      <c r="AJ138" s="143">
        <v>0</v>
      </c>
      <c r="AK138" s="143">
        <v>0</v>
      </c>
      <c r="AL138" s="143">
        <v>0</v>
      </c>
      <c r="AM138" s="143">
        <v>0</v>
      </c>
      <c r="AN138" s="143">
        <v>0</v>
      </c>
      <c r="AO138" s="143">
        <v>0</v>
      </c>
      <c r="AP138" s="143">
        <v>0</v>
      </c>
    </row>
    <row r="139" spans="1:42">
      <c r="A139" s="100" t="s">
        <v>207</v>
      </c>
      <c r="B139" s="92">
        <v>0</v>
      </c>
      <c r="C139" s="92">
        <v>0</v>
      </c>
      <c r="D139" s="92">
        <v>0</v>
      </c>
      <c r="E139" s="92">
        <v>0</v>
      </c>
      <c r="F139" s="92">
        <v>0</v>
      </c>
      <c r="G139" s="92">
        <v>0</v>
      </c>
      <c r="H139" s="92">
        <v>0</v>
      </c>
      <c r="I139" s="92">
        <v>0</v>
      </c>
      <c r="J139" s="92">
        <v>0</v>
      </c>
      <c r="K139" s="92">
        <v>0</v>
      </c>
      <c r="L139" s="92">
        <v>0</v>
      </c>
      <c r="M139" s="92">
        <v>0</v>
      </c>
      <c r="N139" s="92">
        <v>0</v>
      </c>
      <c r="O139" s="92">
        <v>0</v>
      </c>
      <c r="P139" s="92">
        <v>0</v>
      </c>
      <c r="Q139" s="92">
        <v>0</v>
      </c>
      <c r="R139" s="92">
        <v>0</v>
      </c>
      <c r="S139" s="92">
        <v>0</v>
      </c>
      <c r="T139" s="92">
        <v>0</v>
      </c>
      <c r="U139" s="92">
        <v>0</v>
      </c>
      <c r="V139" s="92">
        <v>0</v>
      </c>
      <c r="W139" s="92">
        <v>0</v>
      </c>
      <c r="X139" s="92">
        <v>0</v>
      </c>
      <c r="Y139" s="92">
        <v>0</v>
      </c>
      <c r="Z139" s="92">
        <v>0</v>
      </c>
      <c r="AA139" s="92">
        <v>0</v>
      </c>
      <c r="AB139" s="92">
        <v>0</v>
      </c>
      <c r="AC139" s="92">
        <v>0</v>
      </c>
      <c r="AD139" s="92">
        <v>0</v>
      </c>
      <c r="AE139" s="92">
        <v>0</v>
      </c>
      <c r="AF139" s="92">
        <v>0</v>
      </c>
      <c r="AG139" s="92">
        <v>0</v>
      </c>
      <c r="AH139" s="92">
        <v>0</v>
      </c>
      <c r="AI139" s="143">
        <v>0</v>
      </c>
      <c r="AJ139" s="143">
        <v>0</v>
      </c>
      <c r="AK139" s="143">
        <v>0</v>
      </c>
      <c r="AL139" s="143">
        <v>0</v>
      </c>
      <c r="AM139" s="143">
        <v>0</v>
      </c>
      <c r="AN139" s="143">
        <v>0</v>
      </c>
      <c r="AO139" s="143">
        <v>0</v>
      </c>
      <c r="AP139" s="143">
        <v>0</v>
      </c>
    </row>
    <row r="140" spans="1:42">
      <c r="A140" s="100" t="s">
        <v>472</v>
      </c>
      <c r="B140" s="92">
        <v>0</v>
      </c>
      <c r="C140" s="92">
        <v>0</v>
      </c>
      <c r="D140" s="92">
        <v>0</v>
      </c>
      <c r="E140" s="92">
        <v>0</v>
      </c>
      <c r="F140" s="92">
        <v>0</v>
      </c>
      <c r="G140" s="92">
        <v>0</v>
      </c>
      <c r="H140" s="92">
        <v>0</v>
      </c>
      <c r="I140" s="92">
        <v>0</v>
      </c>
      <c r="J140" s="92">
        <v>0</v>
      </c>
      <c r="K140" s="92">
        <v>0</v>
      </c>
      <c r="L140" s="92">
        <v>0</v>
      </c>
      <c r="M140" s="92">
        <v>0</v>
      </c>
      <c r="N140" s="92">
        <v>0</v>
      </c>
      <c r="O140" s="92">
        <v>0</v>
      </c>
      <c r="P140" s="92">
        <v>0</v>
      </c>
      <c r="Q140" s="92">
        <v>0</v>
      </c>
      <c r="R140" s="92">
        <v>0</v>
      </c>
      <c r="S140" s="92">
        <v>0</v>
      </c>
      <c r="T140" s="92">
        <v>0</v>
      </c>
      <c r="U140" s="92">
        <v>0</v>
      </c>
      <c r="V140" s="92">
        <v>0</v>
      </c>
      <c r="W140" s="92">
        <v>0</v>
      </c>
      <c r="X140" s="92">
        <v>0</v>
      </c>
      <c r="Y140" s="92">
        <v>0</v>
      </c>
      <c r="Z140" s="92">
        <v>0</v>
      </c>
      <c r="AA140" s="92">
        <v>0</v>
      </c>
      <c r="AB140" s="92">
        <v>0</v>
      </c>
      <c r="AC140" s="92">
        <v>0</v>
      </c>
      <c r="AD140" s="92">
        <v>0</v>
      </c>
      <c r="AE140" s="92">
        <v>0</v>
      </c>
      <c r="AF140" s="92">
        <v>0</v>
      </c>
      <c r="AG140" s="92">
        <v>0</v>
      </c>
      <c r="AH140" s="92">
        <v>0</v>
      </c>
      <c r="AI140" s="143">
        <v>0</v>
      </c>
      <c r="AJ140" s="143">
        <v>0</v>
      </c>
      <c r="AK140" s="143">
        <v>0</v>
      </c>
      <c r="AL140" s="143">
        <v>0</v>
      </c>
      <c r="AM140" s="143">
        <v>0</v>
      </c>
      <c r="AN140" s="143">
        <v>0</v>
      </c>
      <c r="AO140" s="143">
        <v>0</v>
      </c>
      <c r="AP140" s="143">
        <v>0</v>
      </c>
    </row>
    <row r="141" spans="1:42">
      <c r="A141" s="141" t="s">
        <v>473</v>
      </c>
      <c r="B141" s="142">
        <v>0</v>
      </c>
      <c r="C141" s="142">
        <v>0</v>
      </c>
      <c r="D141" s="142">
        <v>0</v>
      </c>
      <c r="E141" s="142">
        <v>0</v>
      </c>
      <c r="F141" s="142">
        <v>0</v>
      </c>
      <c r="G141" s="142">
        <v>0</v>
      </c>
      <c r="H141" s="142">
        <v>0</v>
      </c>
      <c r="I141" s="142">
        <v>0</v>
      </c>
      <c r="J141" s="142">
        <v>0</v>
      </c>
      <c r="K141" s="142">
        <v>0</v>
      </c>
      <c r="L141" s="142">
        <v>0</v>
      </c>
      <c r="M141" s="142">
        <v>0</v>
      </c>
      <c r="N141" s="142">
        <v>0</v>
      </c>
      <c r="O141" s="142">
        <v>0</v>
      </c>
      <c r="P141" s="142">
        <v>0</v>
      </c>
      <c r="Q141" s="142">
        <v>0</v>
      </c>
      <c r="R141" s="142">
        <v>0</v>
      </c>
      <c r="S141" s="142">
        <v>0</v>
      </c>
      <c r="T141" s="142">
        <v>0</v>
      </c>
      <c r="U141" s="142">
        <v>0</v>
      </c>
      <c r="V141" s="142">
        <v>0</v>
      </c>
      <c r="W141" s="142">
        <v>0</v>
      </c>
      <c r="X141" s="142">
        <v>0</v>
      </c>
      <c r="Y141" s="142">
        <v>0</v>
      </c>
      <c r="Z141" s="142">
        <v>0</v>
      </c>
      <c r="AA141" s="142">
        <v>0</v>
      </c>
      <c r="AB141" s="142">
        <v>0</v>
      </c>
      <c r="AC141" s="142">
        <v>0</v>
      </c>
      <c r="AD141" s="142">
        <v>0</v>
      </c>
      <c r="AE141" s="142">
        <v>0</v>
      </c>
      <c r="AF141" s="142">
        <v>0</v>
      </c>
      <c r="AG141" s="142">
        <v>0</v>
      </c>
      <c r="AH141" s="142">
        <v>0</v>
      </c>
      <c r="AI141" s="146">
        <v>0</v>
      </c>
      <c r="AJ141" s="146">
        <v>0</v>
      </c>
      <c r="AK141" s="146">
        <v>0</v>
      </c>
      <c r="AL141" s="146">
        <v>0</v>
      </c>
      <c r="AM141" s="146">
        <v>0</v>
      </c>
      <c r="AN141" s="146">
        <v>0</v>
      </c>
      <c r="AO141" s="146">
        <v>0</v>
      </c>
      <c r="AP141" s="146">
        <v>0</v>
      </c>
    </row>
  </sheetData>
  <mergeCells count="24">
    <mergeCell ref="AI50:AP50"/>
    <mergeCell ref="AI109:AP109"/>
    <mergeCell ref="AI110:AP110"/>
    <mergeCell ref="AI111:AP111"/>
    <mergeCell ref="AI112:AP112"/>
    <mergeCell ref="AP88:AP89"/>
    <mergeCell ref="AI93:AP93"/>
    <mergeCell ref="A2:BG2"/>
    <mergeCell ref="AI5:AP5"/>
    <mergeCell ref="AI21:AP21"/>
    <mergeCell ref="AI23:AP23"/>
    <mergeCell ref="AI37:AP37"/>
    <mergeCell ref="A130:AB130"/>
    <mergeCell ref="AI131:AP131"/>
    <mergeCell ref="AI58:AP58"/>
    <mergeCell ref="A74:AB74"/>
    <mergeCell ref="AI75:AP75"/>
    <mergeCell ref="AI88:AI89"/>
    <mergeCell ref="AJ88:AJ89"/>
    <mergeCell ref="AK88:AK89"/>
    <mergeCell ref="AL88:AL89"/>
    <mergeCell ref="AM88:AM89"/>
    <mergeCell ref="AN88:AN89"/>
    <mergeCell ref="AO88:AO8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4"/>
  <sheetViews>
    <sheetView workbookViewId="0">
      <selection activeCell="C4" sqref="C4"/>
    </sheetView>
  </sheetViews>
  <sheetFormatPr baseColWidth="10" defaultColWidth="11.44140625" defaultRowHeight="14.4"/>
  <cols>
    <col min="2" max="2" width="19.6640625" customWidth="1"/>
    <col min="3" max="3" width="17.109375" customWidth="1"/>
    <col min="6" max="6" width="31.5546875" customWidth="1"/>
  </cols>
  <sheetData>
    <row r="1" spans="1:15" s="157" customFormat="1" ht="48.6" customHeight="1">
      <c r="B1" s="196"/>
    </row>
    <row r="2" spans="1:15" s="157" customFormat="1" ht="42.6" customHeight="1">
      <c r="B2" s="367" t="s">
        <v>15</v>
      </c>
      <c r="C2" s="368"/>
    </row>
    <row r="3" spans="1:15" ht="39.6" customHeight="1" thickBot="1">
      <c r="A3" s="157"/>
      <c r="B3" s="158"/>
      <c r="C3" s="159"/>
      <c r="D3" s="157"/>
      <c r="E3" s="157"/>
      <c r="F3" s="157"/>
      <c r="G3" s="157"/>
      <c r="H3" s="157"/>
      <c r="I3" s="157"/>
      <c r="J3" s="157"/>
      <c r="K3" s="157"/>
      <c r="L3" s="157"/>
      <c r="M3" s="157"/>
      <c r="N3" s="157"/>
      <c r="O3" s="157"/>
    </row>
    <row r="4" spans="1:15" ht="63" customHeight="1" thickTop="1" thickBot="1">
      <c r="A4" s="177"/>
      <c r="B4" s="178" t="s">
        <v>16</v>
      </c>
      <c r="C4" s="160">
        <v>2019</v>
      </c>
      <c r="D4" s="157"/>
      <c r="E4" s="157"/>
      <c r="F4" s="157"/>
      <c r="G4" s="157"/>
      <c r="H4" s="157"/>
      <c r="I4" s="157"/>
      <c r="J4" s="157"/>
      <c r="K4" s="157"/>
      <c r="L4" s="157"/>
      <c r="M4" s="157"/>
      <c r="N4" s="157"/>
      <c r="O4" s="157"/>
    </row>
    <row r="5" spans="1:15" ht="64.2" customHeight="1" thickTop="1" thickBot="1">
      <c r="A5" s="177"/>
      <c r="B5" s="179" t="s">
        <v>17</v>
      </c>
      <c r="C5" s="161">
        <v>2030</v>
      </c>
      <c r="D5" s="157"/>
      <c r="E5" s="157"/>
      <c r="F5" s="157"/>
      <c r="G5" s="157"/>
      <c r="H5" s="157"/>
      <c r="I5" s="157"/>
      <c r="J5" s="157"/>
      <c r="K5" s="157"/>
      <c r="L5" s="157"/>
      <c r="M5" s="157"/>
      <c r="N5" s="157"/>
      <c r="O5" s="157"/>
    </row>
    <row r="6" spans="1:15" ht="15" thickTop="1">
      <c r="A6" s="157"/>
      <c r="B6" s="157"/>
      <c r="C6" s="157"/>
      <c r="D6" s="157"/>
      <c r="E6" s="157"/>
      <c r="F6" s="157"/>
      <c r="G6" s="157"/>
      <c r="H6" s="157"/>
      <c r="I6" s="157"/>
      <c r="J6" s="157"/>
      <c r="K6" s="157"/>
      <c r="L6" s="157"/>
      <c r="M6" s="157"/>
      <c r="N6" s="157"/>
      <c r="O6" s="157"/>
    </row>
    <row r="7" spans="1:15">
      <c r="A7" s="157"/>
      <c r="B7" s="157"/>
      <c r="C7" s="157"/>
      <c r="D7" s="157"/>
      <c r="E7" s="157"/>
      <c r="F7" s="157"/>
      <c r="G7" s="157"/>
      <c r="H7" s="157"/>
      <c r="I7" s="157"/>
      <c r="J7" s="157"/>
      <c r="K7" s="157"/>
      <c r="L7" s="157"/>
      <c r="M7" s="157"/>
      <c r="N7" s="157"/>
      <c r="O7" s="157"/>
    </row>
    <row r="8" spans="1:15">
      <c r="A8" s="157"/>
      <c r="B8" s="157"/>
      <c r="C8" s="157"/>
      <c r="D8" s="157"/>
      <c r="E8" s="157"/>
      <c r="F8" s="157"/>
      <c r="G8" s="157"/>
      <c r="H8" s="157"/>
      <c r="I8" s="157"/>
      <c r="J8" s="157"/>
      <c r="K8" s="157"/>
      <c r="L8" s="157"/>
      <c r="M8" s="157"/>
      <c r="N8" s="157"/>
      <c r="O8" s="157"/>
    </row>
    <row r="9" spans="1:15">
      <c r="A9" s="157"/>
      <c r="B9" s="157"/>
      <c r="C9" s="157"/>
      <c r="D9" s="157"/>
      <c r="E9" s="157"/>
      <c r="F9" s="157"/>
      <c r="G9" s="157"/>
      <c r="H9" s="157"/>
      <c r="I9" s="157"/>
      <c r="J9" s="157"/>
      <c r="K9" s="157"/>
      <c r="L9" s="157"/>
      <c r="M9" s="157"/>
      <c r="N9" s="157"/>
      <c r="O9" s="157"/>
    </row>
    <row r="10" spans="1:15">
      <c r="A10" s="157"/>
      <c r="B10" s="157"/>
      <c r="C10" s="157"/>
      <c r="D10" s="157"/>
      <c r="E10" s="157"/>
      <c r="F10" s="157"/>
      <c r="G10" s="157"/>
      <c r="H10" s="157"/>
      <c r="I10" s="157"/>
      <c r="J10" s="157"/>
      <c r="K10" s="157"/>
      <c r="L10" s="157"/>
      <c r="M10" s="157"/>
      <c r="N10" s="157"/>
      <c r="O10" s="157"/>
    </row>
    <row r="11" spans="1:15">
      <c r="A11" s="157"/>
      <c r="B11" s="157"/>
      <c r="C11" s="157"/>
      <c r="D11" s="157"/>
      <c r="E11" s="157"/>
      <c r="F11" s="157"/>
      <c r="G11" s="157"/>
      <c r="H11" s="157"/>
      <c r="I11" s="157"/>
      <c r="J11" s="157"/>
      <c r="K11" s="157"/>
      <c r="L11" s="157"/>
      <c r="M11" s="157"/>
      <c r="N11" s="157"/>
      <c r="O11" s="157"/>
    </row>
    <row r="12" spans="1:15">
      <c r="A12" s="157"/>
      <c r="B12" s="157"/>
      <c r="C12" s="157"/>
      <c r="D12" s="157"/>
      <c r="E12" s="157"/>
      <c r="F12" s="157"/>
      <c r="G12" s="157"/>
      <c r="H12" s="157"/>
      <c r="I12" s="157"/>
      <c r="J12" s="157"/>
      <c r="K12" s="157"/>
      <c r="L12" s="157"/>
      <c r="M12" s="157"/>
      <c r="N12" s="157"/>
      <c r="O12" s="157"/>
    </row>
    <row r="13" spans="1:15">
      <c r="A13" s="157"/>
      <c r="B13" s="157"/>
      <c r="C13" s="157"/>
      <c r="D13" s="157"/>
      <c r="E13" s="157"/>
      <c r="F13" s="157"/>
      <c r="G13" s="157"/>
      <c r="H13" s="157"/>
      <c r="I13" s="157"/>
      <c r="J13" s="157"/>
      <c r="K13" s="157"/>
      <c r="L13" s="157"/>
      <c r="M13" s="157"/>
      <c r="N13" s="157"/>
      <c r="O13" s="157"/>
    </row>
    <row r="14" spans="1:15">
      <c r="A14" s="157"/>
      <c r="B14" s="157"/>
      <c r="C14" s="157"/>
      <c r="D14" s="157"/>
      <c r="E14" s="157"/>
      <c r="F14" s="157"/>
      <c r="G14" s="157"/>
      <c r="H14" s="157"/>
      <c r="I14" s="157"/>
      <c r="J14" s="157"/>
      <c r="K14" s="157"/>
      <c r="L14" s="157"/>
      <c r="M14" s="157"/>
      <c r="N14" s="157"/>
      <c r="O14" s="157"/>
    </row>
    <row r="15" spans="1:15">
      <c r="A15" s="157"/>
      <c r="B15" s="157"/>
      <c r="C15" s="157"/>
      <c r="D15" s="157"/>
      <c r="E15" s="157"/>
      <c r="F15" s="157"/>
      <c r="G15" s="157"/>
      <c r="H15" s="157"/>
      <c r="I15" s="157"/>
      <c r="J15" s="157"/>
      <c r="K15" s="157"/>
      <c r="L15" s="157"/>
      <c r="M15" s="157"/>
      <c r="N15" s="157"/>
      <c r="O15" s="157"/>
    </row>
    <row r="16" spans="1:15">
      <c r="A16" s="157"/>
      <c r="B16" s="157"/>
      <c r="C16" s="157"/>
      <c r="D16" s="157"/>
      <c r="E16" s="157"/>
      <c r="F16" s="157"/>
      <c r="G16" s="157"/>
      <c r="H16" s="157"/>
      <c r="I16" s="157"/>
      <c r="J16" s="157"/>
      <c r="K16" s="157"/>
      <c r="L16" s="157"/>
      <c r="M16" s="157"/>
      <c r="N16" s="157"/>
      <c r="O16" s="157"/>
    </row>
    <row r="17" spans="1:15">
      <c r="A17" s="157"/>
      <c r="B17" s="157"/>
      <c r="C17" s="157"/>
      <c r="D17" s="157"/>
      <c r="E17" s="157"/>
      <c r="F17" s="157"/>
      <c r="G17" s="157"/>
      <c r="H17" s="157"/>
      <c r="I17" s="157"/>
      <c r="J17" s="157"/>
      <c r="K17" s="157"/>
      <c r="L17" s="157"/>
      <c r="M17" s="157"/>
      <c r="N17" s="157"/>
      <c r="O17" s="157"/>
    </row>
    <row r="18" spans="1:15">
      <c r="A18" s="157"/>
      <c r="B18" s="157"/>
      <c r="C18" s="157"/>
      <c r="D18" s="157"/>
      <c r="E18" s="157"/>
      <c r="F18" s="157"/>
      <c r="G18" s="157"/>
      <c r="H18" s="157"/>
      <c r="I18" s="157"/>
      <c r="J18" s="157"/>
      <c r="K18" s="157"/>
      <c r="L18" s="157"/>
      <c r="M18" s="157"/>
      <c r="N18" s="157"/>
      <c r="O18" s="157"/>
    </row>
    <row r="19" spans="1:15">
      <c r="A19" s="157"/>
      <c r="B19" s="157"/>
      <c r="C19" s="157"/>
      <c r="D19" s="157"/>
      <c r="E19" s="157"/>
      <c r="F19" s="157"/>
      <c r="G19" s="157"/>
      <c r="H19" s="157"/>
      <c r="I19" s="157"/>
      <c r="J19" s="157"/>
      <c r="K19" s="157"/>
      <c r="L19" s="157"/>
      <c r="M19" s="157"/>
      <c r="N19" s="157"/>
      <c r="O19" s="157"/>
    </row>
    <row r="20" spans="1:15">
      <c r="A20" s="157"/>
      <c r="B20" s="157"/>
      <c r="C20" s="157"/>
      <c r="D20" s="157"/>
      <c r="E20" s="157"/>
      <c r="F20" s="157"/>
      <c r="G20" s="157"/>
      <c r="H20" s="157"/>
      <c r="I20" s="157"/>
      <c r="J20" s="157"/>
      <c r="K20" s="157"/>
      <c r="L20" s="157"/>
      <c r="M20" s="157"/>
      <c r="N20" s="157"/>
      <c r="O20" s="157"/>
    </row>
    <row r="21" spans="1:15">
      <c r="A21" s="157"/>
      <c r="B21" s="157"/>
      <c r="C21" s="157"/>
      <c r="D21" s="157"/>
      <c r="E21" s="157"/>
      <c r="F21" s="157"/>
      <c r="G21" s="157"/>
      <c r="H21" s="157"/>
      <c r="I21" s="157"/>
      <c r="J21" s="157"/>
      <c r="K21" s="157"/>
      <c r="L21" s="157"/>
      <c r="M21" s="157"/>
      <c r="N21" s="157"/>
      <c r="O21" s="157"/>
    </row>
    <row r="22" spans="1:15">
      <c r="A22" s="157"/>
      <c r="B22" s="157"/>
      <c r="C22" s="157"/>
      <c r="D22" s="157"/>
      <c r="E22" s="157"/>
      <c r="F22" s="157"/>
      <c r="G22" s="157"/>
      <c r="H22" s="157"/>
      <c r="I22" s="157"/>
      <c r="J22" s="157"/>
      <c r="K22" s="157"/>
      <c r="L22" s="157"/>
      <c r="M22" s="157"/>
      <c r="N22" s="157"/>
      <c r="O22" s="157"/>
    </row>
    <row r="23" spans="1:15">
      <c r="A23" s="157"/>
      <c r="B23" s="157"/>
      <c r="C23" s="157"/>
      <c r="D23" s="157"/>
      <c r="E23" s="157"/>
      <c r="F23" s="157"/>
      <c r="G23" s="157"/>
      <c r="H23" s="157"/>
      <c r="I23" s="157"/>
      <c r="J23" s="157"/>
      <c r="K23" s="157"/>
      <c r="L23" s="157"/>
      <c r="M23" s="157"/>
      <c r="N23" s="157"/>
      <c r="O23" s="157"/>
    </row>
    <row r="24" spans="1:15">
      <c r="A24" s="157"/>
      <c r="B24" s="157"/>
      <c r="C24" s="157"/>
      <c r="D24" s="157"/>
      <c r="E24" s="157"/>
      <c r="F24" s="157"/>
      <c r="G24" s="157"/>
      <c r="H24" s="157"/>
      <c r="I24" s="157"/>
      <c r="J24" s="157"/>
      <c r="K24" s="157"/>
      <c r="L24" s="157"/>
      <c r="M24" s="157"/>
      <c r="N24" s="157"/>
      <c r="O24" s="157"/>
    </row>
    <row r="25" spans="1:15">
      <c r="A25" s="157"/>
      <c r="B25" s="157"/>
      <c r="C25" s="157"/>
      <c r="D25" s="157"/>
      <c r="E25" s="157"/>
      <c r="F25" s="157"/>
      <c r="G25" s="157"/>
      <c r="H25" s="157"/>
      <c r="I25" s="157"/>
      <c r="J25" s="157"/>
      <c r="K25" s="157"/>
      <c r="L25" s="157"/>
      <c r="M25" s="157"/>
      <c r="N25" s="157"/>
      <c r="O25" s="157"/>
    </row>
    <row r="26" spans="1:15">
      <c r="A26" s="157"/>
      <c r="B26" s="157"/>
      <c r="C26" s="157"/>
      <c r="D26" s="157"/>
      <c r="E26" s="157"/>
      <c r="F26" s="157"/>
      <c r="G26" s="157"/>
      <c r="H26" s="157"/>
      <c r="I26" s="157"/>
      <c r="J26" s="157"/>
      <c r="K26" s="157"/>
      <c r="L26" s="157"/>
      <c r="M26" s="157"/>
      <c r="N26" s="157"/>
      <c r="O26" s="157"/>
    </row>
    <row r="27" spans="1:15">
      <c r="A27" s="157"/>
      <c r="B27" s="157"/>
      <c r="C27" s="157"/>
      <c r="D27" s="157"/>
      <c r="E27" s="157"/>
      <c r="F27" s="157"/>
      <c r="G27" s="157"/>
      <c r="H27" s="157"/>
      <c r="I27" s="157"/>
      <c r="J27" s="157"/>
      <c r="K27" s="157"/>
      <c r="L27" s="157"/>
      <c r="M27" s="157"/>
      <c r="N27" s="157"/>
      <c r="O27" s="157"/>
    </row>
    <row r="28" spans="1:15">
      <c r="A28" s="157"/>
      <c r="B28" s="157"/>
      <c r="C28" s="157"/>
      <c r="D28" s="157"/>
      <c r="E28" s="157"/>
      <c r="F28" s="157"/>
      <c r="G28" s="157"/>
      <c r="H28" s="157"/>
      <c r="I28" s="157"/>
      <c r="J28" s="157"/>
      <c r="K28" s="157"/>
      <c r="L28" s="157"/>
      <c r="M28" s="157"/>
      <c r="N28" s="157"/>
      <c r="O28" s="157"/>
    </row>
    <row r="29" spans="1:15">
      <c r="A29" s="157"/>
      <c r="B29" s="157"/>
      <c r="C29" s="157"/>
      <c r="D29" s="157"/>
      <c r="E29" s="157"/>
      <c r="F29" s="157"/>
      <c r="G29" s="157"/>
      <c r="H29" s="157"/>
      <c r="I29" s="157"/>
      <c r="J29" s="157"/>
      <c r="K29" s="157"/>
      <c r="L29" s="157"/>
      <c r="M29" s="157"/>
      <c r="N29" s="157"/>
      <c r="O29" s="157"/>
    </row>
    <row r="30" spans="1:15">
      <c r="A30" s="157"/>
      <c r="B30" s="157"/>
      <c r="C30" s="157"/>
      <c r="D30" s="157"/>
      <c r="E30" s="157"/>
      <c r="F30" s="157"/>
      <c r="G30" s="157"/>
      <c r="H30" s="157"/>
      <c r="I30" s="157"/>
      <c r="J30" s="157"/>
      <c r="K30" s="157"/>
      <c r="L30" s="157"/>
      <c r="M30" s="157"/>
      <c r="N30" s="157"/>
      <c r="O30" s="157"/>
    </row>
    <row r="31" spans="1:15">
      <c r="A31" s="157"/>
      <c r="B31" s="157"/>
      <c r="C31" s="157"/>
      <c r="D31" s="157"/>
      <c r="E31" s="157"/>
      <c r="F31" s="157"/>
      <c r="G31" s="157"/>
      <c r="H31" s="157"/>
      <c r="I31" s="157"/>
      <c r="J31" s="157"/>
      <c r="K31" s="157"/>
      <c r="L31" s="157"/>
      <c r="M31" s="157"/>
      <c r="N31" s="157"/>
      <c r="O31" s="157"/>
    </row>
    <row r="32" spans="1:15">
      <c r="A32" s="157"/>
      <c r="B32" s="157"/>
      <c r="C32" s="157"/>
      <c r="D32" s="157"/>
      <c r="E32" s="157"/>
      <c r="F32" s="157"/>
      <c r="G32" s="157"/>
      <c r="H32" s="157"/>
      <c r="I32" s="157"/>
      <c r="J32" s="157"/>
      <c r="K32" s="157"/>
      <c r="L32" s="157"/>
      <c r="M32" s="157"/>
      <c r="N32" s="157"/>
      <c r="O32" s="157"/>
    </row>
    <row r="33" spans="1:15">
      <c r="A33" s="157"/>
      <c r="B33" s="157"/>
      <c r="C33" s="157"/>
      <c r="D33" s="157"/>
      <c r="E33" s="157"/>
      <c r="F33" s="157"/>
      <c r="G33" s="157"/>
      <c r="H33" s="157"/>
      <c r="I33" s="157"/>
      <c r="J33" s="157"/>
      <c r="K33" s="157"/>
      <c r="L33" s="157"/>
      <c r="M33" s="157"/>
      <c r="N33" s="157"/>
      <c r="O33" s="157"/>
    </row>
    <row r="34" spans="1:15">
      <c r="A34" s="157"/>
      <c r="B34" s="157"/>
      <c r="C34" s="157"/>
      <c r="D34" s="157"/>
      <c r="E34" s="157"/>
      <c r="F34" s="157"/>
      <c r="G34" s="157"/>
      <c r="H34" s="157"/>
      <c r="I34" s="157"/>
      <c r="J34" s="157"/>
      <c r="K34" s="157"/>
      <c r="L34" s="157"/>
      <c r="M34" s="157"/>
      <c r="N34" s="157"/>
      <c r="O34" s="157"/>
    </row>
    <row r="35" spans="1:15">
      <c r="A35" s="157"/>
      <c r="B35" s="157"/>
      <c r="C35" s="157"/>
      <c r="D35" s="157"/>
      <c r="E35" s="157"/>
      <c r="F35" s="157"/>
      <c r="G35" s="157"/>
      <c r="H35" s="157"/>
      <c r="I35" s="157"/>
      <c r="J35" s="157"/>
      <c r="K35" s="157"/>
      <c r="L35" s="157"/>
      <c r="M35" s="157"/>
      <c r="N35" s="157"/>
      <c r="O35" s="157"/>
    </row>
    <row r="36" spans="1:15">
      <c r="A36" s="157"/>
      <c r="B36" s="157"/>
      <c r="C36" s="157"/>
      <c r="D36" s="157"/>
      <c r="E36" s="157"/>
      <c r="F36" s="157"/>
      <c r="G36" s="157"/>
      <c r="H36" s="157"/>
      <c r="I36" s="157"/>
      <c r="J36" s="157"/>
      <c r="K36" s="157"/>
      <c r="L36" s="157"/>
      <c r="M36" s="157"/>
      <c r="N36" s="157"/>
      <c r="O36" s="157"/>
    </row>
    <row r="37" spans="1:15">
      <c r="A37" s="157"/>
      <c r="B37" s="157"/>
      <c r="C37" s="157"/>
      <c r="D37" s="157"/>
      <c r="E37" s="157"/>
      <c r="F37" s="157"/>
      <c r="G37" s="157"/>
      <c r="H37" s="157"/>
      <c r="I37" s="157"/>
      <c r="J37" s="157"/>
      <c r="K37" s="157"/>
      <c r="L37" s="157"/>
      <c r="M37" s="157"/>
      <c r="N37" s="157"/>
      <c r="O37" s="157"/>
    </row>
    <row r="38" spans="1:15">
      <c r="A38" s="157"/>
      <c r="B38" s="157"/>
      <c r="C38" s="157"/>
      <c r="D38" s="157"/>
      <c r="E38" s="157"/>
      <c r="F38" s="157"/>
      <c r="G38" s="157"/>
      <c r="H38" s="157"/>
      <c r="I38" s="157"/>
      <c r="J38" s="157"/>
      <c r="K38" s="157"/>
      <c r="L38" s="157"/>
      <c r="M38" s="157"/>
      <c r="N38" s="157"/>
      <c r="O38" s="157"/>
    </row>
    <row r="39" spans="1:15">
      <c r="A39" s="157"/>
      <c r="B39" s="157"/>
      <c r="C39" s="157"/>
      <c r="D39" s="157"/>
      <c r="E39" s="157"/>
      <c r="F39" s="157"/>
      <c r="G39" s="157"/>
      <c r="H39" s="157"/>
      <c r="I39" s="157"/>
      <c r="J39" s="157"/>
      <c r="K39" s="157"/>
      <c r="L39" s="157"/>
      <c r="M39" s="157"/>
      <c r="N39" s="157"/>
      <c r="O39" s="157"/>
    </row>
    <row r="40" spans="1:15">
      <c r="A40" s="157"/>
      <c r="B40" s="157"/>
      <c r="C40" s="157"/>
      <c r="D40" s="157"/>
      <c r="E40" s="157"/>
      <c r="F40" s="157"/>
      <c r="G40" s="157"/>
      <c r="H40" s="157"/>
      <c r="I40" s="157"/>
      <c r="J40" s="157"/>
      <c r="K40" s="157"/>
      <c r="L40" s="157"/>
      <c r="M40" s="157"/>
      <c r="N40" s="157"/>
      <c r="O40" s="157"/>
    </row>
    <row r="41" spans="1:15">
      <c r="A41" s="157"/>
      <c r="B41" s="157"/>
      <c r="C41" s="157"/>
      <c r="D41" s="157"/>
      <c r="E41" s="157"/>
      <c r="F41" s="157"/>
      <c r="G41" s="157"/>
      <c r="H41" s="157"/>
      <c r="I41" s="157"/>
      <c r="J41" s="157"/>
      <c r="K41" s="157"/>
      <c r="L41" s="157"/>
      <c r="M41" s="157"/>
      <c r="N41" s="157"/>
      <c r="O41" s="157"/>
    </row>
    <row r="42" spans="1:15">
      <c r="A42" s="157"/>
      <c r="B42" s="157"/>
      <c r="C42" s="157"/>
      <c r="D42" s="157"/>
      <c r="E42" s="157"/>
      <c r="F42" s="157"/>
      <c r="G42" s="157"/>
      <c r="H42" s="157"/>
      <c r="I42" s="157"/>
      <c r="J42" s="157"/>
      <c r="K42" s="157"/>
      <c r="L42" s="157"/>
      <c r="M42" s="157"/>
      <c r="N42" s="157"/>
      <c r="O42" s="157"/>
    </row>
    <row r="43" spans="1:15">
      <c r="A43" s="157"/>
      <c r="B43" s="157"/>
      <c r="C43" s="157"/>
      <c r="D43" s="157"/>
      <c r="E43" s="157"/>
      <c r="F43" s="157"/>
      <c r="G43" s="157"/>
      <c r="H43" s="157"/>
      <c r="I43" s="157"/>
      <c r="J43" s="157"/>
      <c r="K43" s="157"/>
      <c r="L43" s="157"/>
      <c r="M43" s="157"/>
      <c r="N43" s="157"/>
      <c r="O43" s="157"/>
    </row>
    <row r="44" spans="1:15">
      <c r="A44" s="157"/>
      <c r="B44" s="157"/>
      <c r="C44" s="157"/>
      <c r="D44" s="157"/>
      <c r="E44" s="157"/>
      <c r="F44" s="157"/>
      <c r="G44" s="157"/>
      <c r="H44" s="157"/>
      <c r="I44" s="157"/>
      <c r="J44" s="157"/>
      <c r="K44" s="157"/>
      <c r="L44" s="157"/>
      <c r="M44" s="157"/>
      <c r="N44" s="157"/>
      <c r="O44" s="157"/>
    </row>
    <row r="45" spans="1:15">
      <c r="A45" s="157"/>
      <c r="B45" s="157"/>
      <c r="C45" s="157"/>
      <c r="D45" s="157"/>
      <c r="E45" s="157"/>
      <c r="F45" s="157"/>
      <c r="G45" s="157"/>
      <c r="H45" s="157"/>
      <c r="I45" s="157"/>
      <c r="J45" s="157"/>
      <c r="K45" s="157"/>
      <c r="L45" s="157"/>
      <c r="M45" s="157"/>
      <c r="N45" s="157"/>
      <c r="O45" s="157"/>
    </row>
    <row r="46" spans="1:15">
      <c r="A46" s="157"/>
      <c r="B46" s="157"/>
      <c r="C46" s="157"/>
      <c r="D46" s="157"/>
      <c r="E46" s="157"/>
      <c r="F46" s="157"/>
      <c r="G46" s="157"/>
      <c r="H46" s="157"/>
      <c r="I46" s="157"/>
      <c r="J46" s="157"/>
      <c r="K46" s="157"/>
      <c r="L46" s="157"/>
      <c r="M46" s="157"/>
      <c r="N46" s="157"/>
      <c r="O46" s="157"/>
    </row>
    <row r="47" spans="1:15">
      <c r="A47" s="157"/>
      <c r="B47" s="157"/>
      <c r="C47" s="157"/>
      <c r="D47" s="157"/>
      <c r="E47" s="157"/>
      <c r="F47" s="157"/>
      <c r="G47" s="157"/>
      <c r="H47" s="157"/>
      <c r="I47" s="157"/>
      <c r="J47" s="157"/>
      <c r="K47" s="157"/>
      <c r="L47" s="157"/>
      <c r="M47" s="157"/>
      <c r="N47" s="157"/>
      <c r="O47" s="157"/>
    </row>
    <row r="48" spans="1:15">
      <c r="A48" s="157"/>
      <c r="B48" s="157"/>
      <c r="C48" s="157"/>
      <c r="D48" s="157"/>
      <c r="E48" s="157"/>
      <c r="F48" s="157"/>
      <c r="G48" s="157"/>
      <c r="H48" s="157"/>
      <c r="I48" s="157"/>
      <c r="J48" s="157"/>
      <c r="K48" s="157"/>
      <c r="L48" s="157"/>
      <c r="M48" s="157"/>
      <c r="N48" s="157"/>
      <c r="O48" s="157"/>
    </row>
    <row r="49" spans="1:15">
      <c r="A49" s="157"/>
      <c r="B49" s="157"/>
      <c r="C49" s="157"/>
      <c r="D49" s="157"/>
      <c r="E49" s="157"/>
      <c r="F49" s="157"/>
      <c r="G49" s="157"/>
      <c r="H49" s="157"/>
      <c r="I49" s="157"/>
      <c r="J49" s="157"/>
      <c r="K49" s="157"/>
      <c r="L49" s="157"/>
      <c r="M49" s="157"/>
      <c r="N49" s="157"/>
      <c r="O49" s="157"/>
    </row>
    <row r="50" spans="1:15">
      <c r="A50" s="157"/>
      <c r="B50" s="157"/>
      <c r="C50" s="157"/>
      <c r="D50" s="157"/>
      <c r="E50" s="157"/>
      <c r="F50" s="157"/>
      <c r="G50" s="157"/>
      <c r="H50" s="157"/>
      <c r="I50" s="157"/>
      <c r="J50" s="157"/>
      <c r="K50" s="157"/>
      <c r="L50" s="157"/>
      <c r="M50" s="157"/>
      <c r="N50" s="157"/>
      <c r="O50" s="157"/>
    </row>
    <row r="51" spans="1:15">
      <c r="A51" s="157"/>
      <c r="B51" s="157"/>
      <c r="C51" s="157"/>
      <c r="D51" s="157"/>
      <c r="E51" s="157"/>
      <c r="F51" s="157"/>
      <c r="G51" s="157"/>
      <c r="H51" s="157"/>
      <c r="I51" s="157"/>
      <c r="J51" s="157"/>
      <c r="K51" s="157"/>
      <c r="L51" s="157"/>
      <c r="M51" s="157"/>
      <c r="N51" s="157"/>
      <c r="O51" s="157"/>
    </row>
    <row r="52" spans="1:15">
      <c r="A52" s="157"/>
      <c r="B52" s="157"/>
      <c r="C52" s="157"/>
      <c r="D52" s="157"/>
      <c r="E52" s="157"/>
      <c r="F52" s="157"/>
      <c r="G52" s="157"/>
      <c r="H52" s="157"/>
      <c r="I52" s="157"/>
      <c r="J52" s="157"/>
      <c r="K52" s="157"/>
      <c r="L52" s="157"/>
      <c r="M52" s="157"/>
      <c r="N52" s="157"/>
      <c r="O52" s="157"/>
    </row>
    <row r="53" spans="1:15">
      <c r="A53" s="157"/>
      <c r="B53" s="157"/>
      <c r="C53" s="157"/>
      <c r="D53" s="157"/>
      <c r="E53" s="157"/>
      <c r="F53" s="157"/>
      <c r="G53" s="157"/>
      <c r="H53" s="157"/>
      <c r="I53" s="157"/>
      <c r="J53" s="157"/>
      <c r="K53" s="157"/>
      <c r="L53" s="157"/>
      <c r="M53" s="157"/>
      <c r="N53" s="157"/>
      <c r="O53" s="157"/>
    </row>
    <row r="54" spans="1:15">
      <c r="A54" s="157"/>
      <c r="B54" s="157"/>
      <c r="C54" s="157"/>
      <c r="D54" s="157"/>
      <c r="E54" s="157"/>
      <c r="F54" s="157"/>
      <c r="G54" s="157"/>
      <c r="H54" s="157"/>
      <c r="I54" s="157"/>
      <c r="J54" s="157"/>
      <c r="K54" s="157"/>
      <c r="L54" s="157"/>
      <c r="M54" s="157"/>
      <c r="N54" s="157"/>
      <c r="O54" s="157"/>
    </row>
    <row r="55" spans="1:15">
      <c r="A55" s="157"/>
      <c r="B55" s="157"/>
      <c r="C55" s="157"/>
      <c r="D55" s="157"/>
      <c r="E55" s="157"/>
      <c r="F55" s="157"/>
      <c r="G55" s="157"/>
      <c r="H55" s="157"/>
      <c r="I55" s="157"/>
      <c r="J55" s="157"/>
      <c r="K55" s="157"/>
      <c r="L55" s="157"/>
      <c r="M55" s="157"/>
      <c r="N55" s="157"/>
      <c r="O55" s="157"/>
    </row>
    <row r="56" spans="1:15">
      <c r="A56" s="157"/>
      <c r="B56" s="157"/>
      <c r="C56" s="157"/>
      <c r="D56" s="157"/>
      <c r="E56" s="157"/>
      <c r="F56" s="157"/>
      <c r="G56" s="157"/>
      <c r="H56" s="157"/>
      <c r="I56" s="157"/>
      <c r="J56" s="157"/>
      <c r="K56" s="157"/>
      <c r="L56" s="157"/>
      <c r="M56" s="157"/>
      <c r="N56" s="157"/>
      <c r="O56" s="157"/>
    </row>
    <row r="57" spans="1:15">
      <c r="A57" s="157"/>
      <c r="B57" s="157"/>
      <c r="C57" s="157"/>
      <c r="D57" s="157"/>
      <c r="E57" s="157"/>
      <c r="F57" s="157"/>
      <c r="G57" s="157"/>
      <c r="H57" s="157"/>
      <c r="I57" s="157"/>
      <c r="J57" s="157"/>
      <c r="K57" s="157"/>
      <c r="L57" s="157"/>
      <c r="M57" s="157"/>
      <c r="N57" s="157"/>
      <c r="O57" s="157"/>
    </row>
    <row r="58" spans="1:15">
      <c r="A58" s="157"/>
      <c r="B58" s="157"/>
      <c r="C58" s="157"/>
      <c r="D58" s="157"/>
      <c r="E58" s="157"/>
      <c r="F58" s="157"/>
      <c r="G58" s="157"/>
      <c r="H58" s="157"/>
      <c r="I58" s="157"/>
      <c r="J58" s="157"/>
      <c r="K58" s="157"/>
      <c r="L58" s="157"/>
      <c r="M58" s="157"/>
      <c r="N58" s="157"/>
      <c r="O58" s="157"/>
    </row>
    <row r="59" spans="1:15">
      <c r="A59" s="157"/>
      <c r="B59" s="157"/>
      <c r="C59" s="157"/>
      <c r="D59" s="157"/>
      <c r="E59" s="157"/>
      <c r="F59" s="157"/>
      <c r="G59" s="157"/>
      <c r="H59" s="157"/>
      <c r="I59" s="157"/>
      <c r="J59" s="157"/>
      <c r="K59" s="157"/>
      <c r="L59" s="157"/>
      <c r="M59" s="157"/>
      <c r="N59" s="157"/>
      <c r="O59" s="157"/>
    </row>
    <row r="60" spans="1:15">
      <c r="A60" s="157"/>
      <c r="B60" s="157"/>
      <c r="C60" s="157"/>
      <c r="D60" s="157"/>
      <c r="E60" s="157"/>
      <c r="F60" s="157"/>
      <c r="G60" s="157"/>
      <c r="H60" s="157"/>
      <c r="I60" s="157"/>
      <c r="J60" s="157"/>
      <c r="K60" s="157"/>
      <c r="L60" s="157"/>
      <c r="M60" s="157"/>
      <c r="N60" s="157"/>
      <c r="O60" s="157"/>
    </row>
    <row r="61" spans="1:15">
      <c r="A61" s="157"/>
      <c r="B61" s="157"/>
      <c r="C61" s="157"/>
      <c r="D61" s="157"/>
      <c r="E61" s="157"/>
      <c r="F61" s="157"/>
      <c r="G61" s="157"/>
      <c r="H61" s="157"/>
      <c r="I61" s="157"/>
      <c r="J61" s="157"/>
      <c r="K61" s="157"/>
      <c r="L61" s="157"/>
      <c r="M61" s="157"/>
      <c r="N61" s="157"/>
      <c r="O61" s="157"/>
    </row>
    <row r="62" spans="1:15">
      <c r="A62" s="157"/>
      <c r="B62" s="157"/>
      <c r="C62" s="157"/>
      <c r="D62" s="157"/>
      <c r="E62" s="157"/>
      <c r="F62" s="157"/>
      <c r="G62" s="157"/>
      <c r="H62" s="157"/>
      <c r="I62" s="157"/>
      <c r="J62" s="157"/>
      <c r="K62" s="157"/>
      <c r="L62" s="157"/>
      <c r="M62" s="157"/>
      <c r="N62" s="157"/>
      <c r="O62" s="157"/>
    </row>
    <row r="63" spans="1:15">
      <c r="A63" s="157"/>
      <c r="B63" s="157"/>
      <c r="C63" s="157"/>
      <c r="D63" s="157"/>
      <c r="E63" s="157"/>
      <c r="F63" s="157"/>
      <c r="G63" s="157"/>
      <c r="H63" s="157"/>
      <c r="I63" s="157"/>
      <c r="J63" s="157"/>
      <c r="K63" s="157"/>
      <c r="L63" s="157"/>
      <c r="M63" s="157"/>
      <c r="N63" s="157"/>
      <c r="O63" s="157"/>
    </row>
    <row r="64" spans="1:15">
      <c r="A64" s="157"/>
      <c r="B64" s="157"/>
      <c r="C64" s="157"/>
      <c r="D64" s="157"/>
      <c r="E64" s="157"/>
      <c r="F64" s="157"/>
      <c r="G64" s="157"/>
      <c r="H64" s="157"/>
      <c r="I64" s="157"/>
      <c r="J64" s="157"/>
      <c r="K64" s="157"/>
      <c r="L64" s="157"/>
      <c r="M64" s="157"/>
      <c r="N64" s="157"/>
      <c r="O64" s="157"/>
    </row>
    <row r="65" spans="1:15">
      <c r="A65" s="157"/>
      <c r="B65" s="157"/>
      <c r="C65" s="157"/>
      <c r="D65" s="157"/>
      <c r="E65" s="157"/>
      <c r="F65" s="157"/>
      <c r="G65" s="157"/>
      <c r="H65" s="157"/>
      <c r="I65" s="157"/>
      <c r="J65" s="157"/>
      <c r="K65" s="157"/>
      <c r="L65" s="157"/>
      <c r="M65" s="157"/>
      <c r="N65" s="157"/>
      <c r="O65" s="157"/>
    </row>
    <row r="66" spans="1:15">
      <c r="A66" s="157"/>
      <c r="B66" s="157"/>
      <c r="C66" s="157"/>
      <c r="D66" s="157"/>
      <c r="E66" s="157"/>
      <c r="F66" s="157"/>
      <c r="G66" s="157"/>
      <c r="H66" s="157"/>
      <c r="I66" s="157"/>
      <c r="J66" s="157"/>
      <c r="K66" s="157"/>
      <c r="L66" s="157"/>
      <c r="M66" s="157"/>
      <c r="N66" s="157"/>
      <c r="O66" s="157"/>
    </row>
    <row r="67" spans="1:15">
      <c r="A67" s="157"/>
      <c r="B67" s="157"/>
      <c r="C67" s="157"/>
      <c r="D67" s="157"/>
      <c r="E67" s="157"/>
      <c r="F67" s="157"/>
      <c r="G67" s="157"/>
      <c r="H67" s="157"/>
      <c r="I67" s="157"/>
      <c r="J67" s="157"/>
      <c r="K67" s="157"/>
      <c r="L67" s="157"/>
      <c r="M67" s="157"/>
      <c r="N67" s="157"/>
      <c r="O67" s="157"/>
    </row>
    <row r="68" spans="1:15">
      <c r="A68" s="157"/>
      <c r="B68" s="157"/>
      <c r="C68" s="157"/>
      <c r="D68" s="157"/>
      <c r="E68" s="157"/>
      <c r="F68" s="157"/>
      <c r="G68" s="157"/>
      <c r="H68" s="157"/>
      <c r="I68" s="157"/>
      <c r="J68" s="157"/>
      <c r="K68" s="157"/>
      <c r="L68" s="157"/>
      <c r="M68" s="157"/>
      <c r="N68" s="157"/>
      <c r="O68" s="157"/>
    </row>
    <row r="69" spans="1:15">
      <c r="A69" s="157"/>
      <c r="B69" s="157"/>
      <c r="C69" s="157"/>
      <c r="D69" s="157"/>
      <c r="E69" s="157"/>
      <c r="F69" s="157"/>
      <c r="G69" s="157"/>
      <c r="H69" s="157"/>
      <c r="I69" s="157"/>
      <c r="J69" s="157"/>
      <c r="K69" s="157"/>
      <c r="L69" s="157"/>
      <c r="M69" s="157"/>
      <c r="N69" s="157"/>
      <c r="O69" s="157"/>
    </row>
    <row r="70" spans="1:15">
      <c r="A70" s="157"/>
      <c r="B70" s="157"/>
      <c r="C70" s="157"/>
      <c r="D70" s="157"/>
      <c r="E70" s="157"/>
      <c r="F70" s="157"/>
      <c r="G70" s="157"/>
      <c r="H70" s="157"/>
      <c r="I70" s="157"/>
      <c r="J70" s="157"/>
      <c r="K70" s="157"/>
      <c r="L70" s="157"/>
      <c r="M70" s="157"/>
      <c r="N70" s="157"/>
      <c r="O70" s="157"/>
    </row>
    <row r="71" spans="1:15">
      <c r="A71" s="157"/>
      <c r="B71" s="157"/>
      <c r="C71" s="157"/>
      <c r="D71" s="157"/>
      <c r="E71" s="157"/>
      <c r="F71" s="157"/>
      <c r="G71" s="157"/>
      <c r="H71" s="157"/>
      <c r="I71" s="157"/>
      <c r="J71" s="157"/>
      <c r="K71" s="157"/>
      <c r="L71" s="157"/>
      <c r="M71" s="157"/>
      <c r="N71" s="157"/>
      <c r="O71" s="157"/>
    </row>
    <row r="72" spans="1:15">
      <c r="A72" s="157"/>
      <c r="B72" s="157"/>
      <c r="C72" s="157"/>
      <c r="D72" s="157"/>
      <c r="E72" s="157"/>
      <c r="F72" s="157"/>
      <c r="G72" s="157"/>
      <c r="H72" s="157"/>
      <c r="I72" s="157"/>
      <c r="J72" s="157"/>
      <c r="K72" s="157"/>
      <c r="L72" s="157"/>
      <c r="M72" s="157"/>
      <c r="N72" s="157"/>
      <c r="O72" s="157"/>
    </row>
    <row r="73" spans="1:15">
      <c r="A73" s="157"/>
      <c r="B73" s="157"/>
      <c r="C73" s="157"/>
      <c r="D73" s="157"/>
      <c r="E73" s="157"/>
      <c r="F73" s="157"/>
      <c r="G73" s="157"/>
      <c r="H73" s="157"/>
      <c r="I73" s="157"/>
      <c r="J73" s="157"/>
      <c r="K73" s="157"/>
      <c r="L73" s="157"/>
      <c r="M73" s="157"/>
      <c r="N73" s="157"/>
      <c r="O73" s="157"/>
    </row>
    <row r="74" spans="1:15">
      <c r="A74" s="157"/>
      <c r="B74" s="157"/>
      <c r="C74" s="157"/>
      <c r="D74" s="157"/>
      <c r="E74" s="157"/>
      <c r="F74" s="157"/>
      <c r="G74" s="157"/>
      <c r="H74" s="157"/>
      <c r="I74" s="157"/>
      <c r="J74" s="157"/>
      <c r="K74" s="157"/>
      <c r="L74" s="157"/>
      <c r="M74" s="157"/>
      <c r="N74" s="157"/>
      <c r="O74" s="157"/>
    </row>
    <row r="75" spans="1:15">
      <c r="A75" s="157"/>
      <c r="B75" s="157"/>
      <c r="C75" s="157"/>
      <c r="D75" s="157"/>
      <c r="E75" s="157"/>
      <c r="F75" s="157"/>
      <c r="G75" s="157"/>
      <c r="H75" s="157"/>
      <c r="I75" s="157"/>
      <c r="J75" s="157"/>
      <c r="K75" s="157"/>
      <c r="L75" s="157"/>
      <c r="M75" s="157"/>
      <c r="N75" s="157"/>
      <c r="O75" s="157"/>
    </row>
    <row r="76" spans="1:15">
      <c r="A76" s="157"/>
      <c r="B76" s="157"/>
      <c r="C76" s="157"/>
      <c r="D76" s="157"/>
      <c r="E76" s="157"/>
      <c r="F76" s="157"/>
      <c r="G76" s="157"/>
      <c r="H76" s="157"/>
      <c r="I76" s="157"/>
      <c r="J76" s="157"/>
      <c r="K76" s="157"/>
      <c r="L76" s="157"/>
      <c r="M76" s="157"/>
      <c r="N76" s="157"/>
      <c r="O76" s="157"/>
    </row>
    <row r="77" spans="1:15">
      <c r="A77" s="157"/>
      <c r="B77" s="157"/>
      <c r="C77" s="157"/>
      <c r="D77" s="157"/>
      <c r="E77" s="157"/>
      <c r="F77" s="157"/>
      <c r="G77" s="157"/>
      <c r="H77" s="157"/>
      <c r="I77" s="157"/>
      <c r="J77" s="157"/>
      <c r="K77" s="157"/>
      <c r="L77" s="157"/>
      <c r="M77" s="157"/>
      <c r="N77" s="157"/>
      <c r="O77" s="157"/>
    </row>
    <row r="78" spans="1:15">
      <c r="A78" s="157"/>
      <c r="B78" s="157"/>
      <c r="C78" s="157"/>
      <c r="D78" s="157"/>
      <c r="E78" s="157"/>
      <c r="F78" s="157"/>
      <c r="G78" s="157"/>
      <c r="H78" s="157"/>
      <c r="I78" s="157"/>
      <c r="J78" s="157"/>
      <c r="K78" s="157"/>
      <c r="L78" s="157"/>
      <c r="M78" s="157"/>
      <c r="N78" s="157"/>
      <c r="O78" s="157"/>
    </row>
    <row r="79" spans="1:15">
      <c r="A79" s="157"/>
      <c r="B79" s="157"/>
      <c r="C79" s="157"/>
      <c r="D79" s="157"/>
      <c r="E79" s="157"/>
      <c r="F79" s="157"/>
      <c r="G79" s="157"/>
      <c r="H79" s="157"/>
      <c r="I79" s="157"/>
      <c r="J79" s="157"/>
      <c r="K79" s="157"/>
      <c r="L79" s="157"/>
      <c r="M79" s="157"/>
      <c r="N79" s="157"/>
      <c r="O79" s="157"/>
    </row>
    <row r="80" spans="1:15">
      <c r="A80" s="157"/>
      <c r="B80" s="157"/>
      <c r="C80" s="157"/>
      <c r="D80" s="157"/>
      <c r="E80" s="157"/>
      <c r="F80" s="157"/>
      <c r="G80" s="157"/>
      <c r="H80" s="157"/>
      <c r="I80" s="157"/>
      <c r="J80" s="157"/>
      <c r="K80" s="157"/>
      <c r="L80" s="157"/>
      <c r="M80" s="157"/>
      <c r="N80" s="157"/>
      <c r="O80" s="157"/>
    </row>
    <row r="81" spans="1:15">
      <c r="A81" s="157"/>
      <c r="B81" s="157"/>
      <c r="C81" s="157"/>
      <c r="D81" s="157"/>
      <c r="E81" s="157"/>
      <c r="F81" s="157"/>
      <c r="G81" s="157"/>
      <c r="H81" s="157"/>
      <c r="I81" s="157"/>
      <c r="J81" s="157"/>
      <c r="K81" s="157"/>
      <c r="L81" s="157"/>
      <c r="M81" s="157"/>
      <c r="N81" s="157"/>
      <c r="O81" s="157"/>
    </row>
    <row r="82" spans="1:15">
      <c r="A82" s="157"/>
      <c r="B82" s="157"/>
      <c r="C82" s="157"/>
      <c r="D82" s="157"/>
      <c r="E82" s="157"/>
      <c r="F82" s="157"/>
      <c r="G82" s="157"/>
      <c r="H82" s="157"/>
      <c r="I82" s="157"/>
      <c r="J82" s="157"/>
      <c r="K82" s="157"/>
      <c r="L82" s="157"/>
      <c r="M82" s="157"/>
      <c r="N82" s="157"/>
      <c r="O82" s="157"/>
    </row>
    <row r="83" spans="1:15">
      <c r="A83" s="157"/>
      <c r="B83" s="157"/>
      <c r="C83" s="157"/>
      <c r="D83" s="157"/>
      <c r="E83" s="157"/>
      <c r="F83" s="157"/>
      <c r="G83" s="157"/>
      <c r="H83" s="157"/>
      <c r="I83" s="157"/>
      <c r="J83" s="157"/>
      <c r="K83" s="157"/>
      <c r="L83" s="157"/>
      <c r="M83" s="157"/>
      <c r="N83" s="157"/>
      <c r="O83" s="157"/>
    </row>
    <row r="84" spans="1:15">
      <c r="A84" s="157"/>
      <c r="B84" s="157"/>
      <c r="C84" s="157"/>
      <c r="D84" s="157"/>
      <c r="E84" s="157"/>
      <c r="F84" s="157"/>
      <c r="G84" s="157"/>
      <c r="H84" s="157"/>
      <c r="I84" s="157"/>
      <c r="J84" s="157"/>
      <c r="K84" s="157"/>
      <c r="L84" s="157"/>
      <c r="M84" s="157"/>
      <c r="N84" s="157"/>
      <c r="O84" s="157"/>
    </row>
    <row r="85" spans="1:15">
      <c r="A85" s="157"/>
      <c r="B85" s="157"/>
      <c r="C85" s="157"/>
      <c r="D85" s="157"/>
      <c r="E85" s="157"/>
      <c r="F85" s="157"/>
      <c r="G85" s="157"/>
      <c r="H85" s="157"/>
      <c r="I85" s="157"/>
      <c r="J85" s="157"/>
      <c r="K85" s="157"/>
      <c r="L85" s="157"/>
      <c r="M85" s="157"/>
      <c r="N85" s="157"/>
      <c r="O85" s="157"/>
    </row>
    <row r="86" spans="1:15">
      <c r="A86" s="157"/>
      <c r="B86" s="157"/>
      <c r="C86" s="157"/>
      <c r="D86" s="157"/>
      <c r="E86" s="157"/>
      <c r="F86" s="157"/>
      <c r="G86" s="157"/>
      <c r="H86" s="157"/>
      <c r="I86" s="157"/>
      <c r="J86" s="157"/>
      <c r="K86" s="157"/>
      <c r="L86" s="157"/>
      <c r="M86" s="157"/>
      <c r="N86" s="157"/>
      <c r="O86" s="157"/>
    </row>
    <row r="87" spans="1:15">
      <c r="A87" s="157"/>
      <c r="B87" s="157"/>
      <c r="C87" s="157"/>
      <c r="D87" s="157"/>
      <c r="E87" s="157"/>
      <c r="F87" s="157"/>
      <c r="G87" s="157"/>
      <c r="H87" s="157"/>
      <c r="I87" s="157"/>
      <c r="J87" s="157"/>
      <c r="K87" s="157"/>
      <c r="L87" s="157"/>
      <c r="M87" s="157"/>
      <c r="N87" s="157"/>
      <c r="O87" s="157"/>
    </row>
    <row r="88" spans="1:15">
      <c r="A88" s="157"/>
      <c r="B88" s="157"/>
      <c r="C88" s="157"/>
      <c r="D88" s="157"/>
      <c r="E88" s="157"/>
      <c r="F88" s="157"/>
      <c r="G88" s="157"/>
      <c r="H88" s="157"/>
      <c r="I88" s="157"/>
      <c r="J88" s="157"/>
      <c r="K88" s="157"/>
      <c r="L88" s="157"/>
      <c r="M88" s="157"/>
      <c r="N88" s="157"/>
      <c r="O88" s="157"/>
    </row>
    <row r="89" spans="1:15">
      <c r="A89" s="157"/>
      <c r="B89" s="157"/>
      <c r="C89" s="157"/>
      <c r="D89" s="157"/>
      <c r="E89" s="157"/>
      <c r="F89" s="157"/>
      <c r="G89" s="157"/>
      <c r="H89" s="157"/>
      <c r="I89" s="157"/>
      <c r="J89" s="157"/>
      <c r="K89" s="157"/>
      <c r="L89" s="157"/>
      <c r="M89" s="157"/>
      <c r="N89" s="157"/>
      <c r="O89" s="157"/>
    </row>
    <row r="90" spans="1:15">
      <c r="A90" s="157"/>
      <c r="B90" s="157"/>
      <c r="C90" s="157"/>
      <c r="D90" s="157"/>
      <c r="E90" s="157"/>
      <c r="F90" s="157"/>
      <c r="G90" s="157"/>
      <c r="H90" s="157"/>
      <c r="I90" s="157"/>
      <c r="J90" s="157"/>
      <c r="K90" s="157"/>
      <c r="L90" s="157"/>
      <c r="M90" s="157"/>
      <c r="N90" s="157"/>
      <c r="O90" s="157"/>
    </row>
    <row r="91" spans="1:15">
      <c r="A91" s="157"/>
      <c r="B91" s="157"/>
      <c r="C91" s="157"/>
      <c r="D91" s="157"/>
      <c r="E91" s="157"/>
      <c r="F91" s="157"/>
      <c r="G91" s="157"/>
      <c r="H91" s="157"/>
      <c r="I91" s="157"/>
      <c r="J91" s="157"/>
      <c r="K91" s="157"/>
      <c r="L91" s="157"/>
      <c r="M91" s="157"/>
      <c r="N91" s="157"/>
      <c r="O91" s="157"/>
    </row>
    <row r="92" spans="1:15">
      <c r="A92" s="157"/>
      <c r="B92" s="157"/>
      <c r="C92" s="157"/>
      <c r="D92" s="157"/>
      <c r="E92" s="157"/>
      <c r="F92" s="157"/>
      <c r="G92" s="157"/>
      <c r="H92" s="157"/>
      <c r="I92" s="157"/>
      <c r="J92" s="157"/>
      <c r="K92" s="157"/>
      <c r="L92" s="157"/>
      <c r="M92" s="157"/>
      <c r="N92" s="157"/>
      <c r="O92" s="157"/>
    </row>
    <row r="93" spans="1:15">
      <c r="A93" s="157"/>
      <c r="B93" s="157"/>
      <c r="C93" s="157"/>
      <c r="D93" s="157"/>
      <c r="E93" s="157"/>
      <c r="F93" s="157"/>
      <c r="G93" s="157"/>
      <c r="H93" s="157"/>
      <c r="I93" s="157"/>
      <c r="J93" s="157"/>
      <c r="K93" s="157"/>
      <c r="L93" s="157"/>
      <c r="M93" s="157"/>
      <c r="N93" s="157"/>
      <c r="O93" s="157"/>
    </row>
    <row r="94" spans="1:15">
      <c r="A94" s="157"/>
      <c r="B94" s="157"/>
      <c r="C94" s="157"/>
      <c r="D94" s="157"/>
      <c r="E94" s="157"/>
      <c r="F94" s="157"/>
      <c r="G94" s="157"/>
      <c r="H94" s="157"/>
      <c r="I94" s="157"/>
      <c r="J94" s="157"/>
      <c r="K94" s="157"/>
      <c r="L94" s="157"/>
      <c r="M94" s="157"/>
      <c r="N94" s="157"/>
      <c r="O94" s="157"/>
    </row>
    <row r="95" spans="1:15">
      <c r="A95" s="157"/>
      <c r="B95" s="157"/>
      <c r="C95" s="157"/>
      <c r="D95" s="157"/>
      <c r="E95" s="157"/>
      <c r="F95" s="157"/>
      <c r="G95" s="157"/>
      <c r="H95" s="157"/>
      <c r="I95" s="157"/>
      <c r="J95" s="157"/>
      <c r="K95" s="157"/>
      <c r="L95" s="157"/>
      <c r="M95" s="157"/>
      <c r="N95" s="157"/>
      <c r="O95" s="157"/>
    </row>
    <row r="96" spans="1:15">
      <c r="A96" s="157"/>
      <c r="B96" s="157"/>
      <c r="C96" s="157"/>
      <c r="D96" s="157"/>
      <c r="E96" s="157"/>
      <c r="F96" s="157"/>
      <c r="G96" s="157"/>
      <c r="H96" s="157"/>
      <c r="I96" s="157"/>
      <c r="J96" s="157"/>
      <c r="K96" s="157"/>
      <c r="L96" s="157"/>
      <c r="M96" s="157"/>
      <c r="N96" s="157"/>
      <c r="O96" s="157"/>
    </row>
    <row r="97" spans="1:15">
      <c r="A97" s="157"/>
      <c r="B97" s="157"/>
      <c r="C97" s="157"/>
      <c r="D97" s="157"/>
      <c r="E97" s="157"/>
      <c r="F97" s="157"/>
      <c r="G97" s="157"/>
      <c r="H97" s="157"/>
      <c r="I97" s="157"/>
      <c r="J97" s="157"/>
      <c r="K97" s="157"/>
      <c r="L97" s="157"/>
      <c r="M97" s="157"/>
      <c r="N97" s="157"/>
      <c r="O97" s="157"/>
    </row>
    <row r="98" spans="1:15">
      <c r="A98" s="157"/>
      <c r="B98" s="157"/>
      <c r="C98" s="157"/>
      <c r="D98" s="157"/>
      <c r="E98" s="157"/>
      <c r="F98" s="157"/>
      <c r="G98" s="157"/>
      <c r="H98" s="157"/>
      <c r="I98" s="157"/>
      <c r="J98" s="157"/>
      <c r="K98" s="157"/>
      <c r="L98" s="157"/>
      <c r="M98" s="157"/>
      <c r="N98" s="157"/>
      <c r="O98" s="157"/>
    </row>
    <row r="99" spans="1:15">
      <c r="A99" s="157"/>
      <c r="B99" s="157"/>
      <c r="C99" s="157"/>
      <c r="D99" s="157"/>
      <c r="E99" s="157"/>
      <c r="F99" s="157"/>
      <c r="G99" s="157"/>
      <c r="H99" s="157"/>
      <c r="I99" s="157"/>
      <c r="J99" s="157"/>
      <c r="K99" s="157"/>
      <c r="L99" s="157"/>
      <c r="M99" s="157"/>
      <c r="N99" s="157"/>
      <c r="O99" s="157"/>
    </row>
    <row r="100" spans="1:15">
      <c r="A100" s="157"/>
      <c r="B100" s="157"/>
      <c r="C100" s="157"/>
      <c r="D100" s="157"/>
      <c r="E100" s="157"/>
      <c r="F100" s="157"/>
      <c r="G100" s="157"/>
      <c r="H100" s="157"/>
      <c r="I100" s="157"/>
      <c r="J100" s="157"/>
      <c r="K100" s="157"/>
      <c r="L100" s="157"/>
      <c r="M100" s="157"/>
      <c r="N100" s="157"/>
      <c r="O100" s="157"/>
    </row>
    <row r="101" spans="1:15">
      <c r="A101" s="157"/>
      <c r="B101" s="157"/>
      <c r="C101" s="157"/>
      <c r="D101" s="157"/>
      <c r="E101" s="157"/>
      <c r="F101" s="157"/>
      <c r="G101" s="157"/>
      <c r="H101" s="157"/>
      <c r="I101" s="157"/>
      <c r="J101" s="157"/>
      <c r="K101" s="157"/>
      <c r="L101" s="157"/>
      <c r="M101" s="157"/>
      <c r="N101" s="157"/>
      <c r="O101" s="157"/>
    </row>
    <row r="102" spans="1:15">
      <c r="A102" s="157"/>
      <c r="B102" s="157"/>
      <c r="C102" s="157"/>
      <c r="D102" s="157"/>
      <c r="E102" s="157"/>
      <c r="F102" s="157"/>
      <c r="G102" s="157"/>
      <c r="H102" s="157"/>
      <c r="I102" s="157"/>
      <c r="J102" s="157"/>
      <c r="K102" s="157"/>
      <c r="L102" s="157"/>
      <c r="M102" s="157"/>
      <c r="N102" s="157"/>
      <c r="O102" s="157"/>
    </row>
    <row r="103" spans="1:15">
      <c r="A103" s="157"/>
      <c r="B103" s="157"/>
      <c r="C103" s="157"/>
      <c r="D103" s="157"/>
      <c r="E103" s="157"/>
      <c r="F103" s="157"/>
      <c r="G103" s="157"/>
      <c r="H103" s="157"/>
      <c r="I103" s="157"/>
      <c r="J103" s="157"/>
      <c r="K103" s="157"/>
      <c r="L103" s="157"/>
      <c r="M103" s="157"/>
      <c r="N103" s="157"/>
      <c r="O103" s="157"/>
    </row>
    <row r="104" spans="1:15">
      <c r="A104" s="157"/>
      <c r="B104" s="157"/>
      <c r="C104" s="157"/>
      <c r="D104" s="157"/>
      <c r="E104" s="157"/>
      <c r="F104" s="157"/>
      <c r="G104" s="157"/>
      <c r="H104" s="157"/>
      <c r="I104" s="157"/>
      <c r="J104" s="157"/>
      <c r="K104" s="157"/>
      <c r="L104" s="157"/>
      <c r="M104" s="157"/>
      <c r="N104" s="157"/>
      <c r="O104" s="157"/>
    </row>
    <row r="105" spans="1:15">
      <c r="A105" s="157"/>
      <c r="B105" s="157"/>
      <c r="C105" s="157"/>
      <c r="D105" s="157"/>
      <c r="E105" s="157"/>
      <c r="F105" s="157"/>
      <c r="G105" s="157"/>
      <c r="H105" s="157"/>
      <c r="I105" s="157"/>
      <c r="J105" s="157"/>
      <c r="K105" s="157"/>
      <c r="L105" s="157"/>
      <c r="M105" s="157"/>
      <c r="N105" s="157"/>
      <c r="O105" s="157"/>
    </row>
    <row r="106" spans="1:15">
      <c r="A106" s="157"/>
      <c r="B106" s="157"/>
      <c r="C106" s="157"/>
      <c r="D106" s="157"/>
      <c r="E106" s="157"/>
      <c r="F106" s="157"/>
      <c r="G106" s="157"/>
      <c r="H106" s="157"/>
      <c r="I106" s="157"/>
      <c r="J106" s="157"/>
      <c r="K106" s="157"/>
      <c r="L106" s="157"/>
      <c r="M106" s="157"/>
      <c r="N106" s="157"/>
      <c r="O106" s="157"/>
    </row>
    <row r="107" spans="1:15">
      <c r="A107" s="157"/>
      <c r="B107" s="157"/>
      <c r="C107" s="157"/>
      <c r="D107" s="157"/>
      <c r="E107" s="157"/>
      <c r="F107" s="157"/>
      <c r="G107" s="157"/>
      <c r="H107" s="157"/>
      <c r="I107" s="157"/>
      <c r="J107" s="157"/>
      <c r="K107" s="157"/>
      <c r="L107" s="157"/>
      <c r="M107" s="157"/>
      <c r="N107" s="157"/>
      <c r="O107" s="157"/>
    </row>
    <row r="108" spans="1:15">
      <c r="A108" s="157"/>
      <c r="B108" s="157"/>
      <c r="C108" s="157"/>
      <c r="D108" s="157"/>
      <c r="E108" s="157"/>
      <c r="F108" s="157"/>
      <c r="G108" s="157"/>
      <c r="H108" s="157"/>
      <c r="I108" s="157"/>
      <c r="J108" s="157"/>
      <c r="K108" s="157"/>
      <c r="L108" s="157"/>
      <c r="M108" s="157"/>
      <c r="N108" s="157"/>
      <c r="O108" s="157"/>
    </row>
    <row r="109" spans="1:15">
      <c r="A109" s="157"/>
      <c r="B109" s="157"/>
      <c r="C109" s="157"/>
      <c r="D109" s="157"/>
      <c r="E109" s="157"/>
      <c r="F109" s="157"/>
      <c r="G109" s="157"/>
      <c r="H109" s="157"/>
      <c r="I109" s="157"/>
      <c r="J109" s="157"/>
      <c r="K109" s="157"/>
      <c r="L109" s="157"/>
      <c r="M109" s="157"/>
      <c r="N109" s="157"/>
      <c r="O109" s="157"/>
    </row>
    <row r="110" spans="1:15">
      <c r="A110" s="157"/>
      <c r="B110" s="157"/>
      <c r="C110" s="157"/>
      <c r="D110" s="157"/>
      <c r="E110" s="157"/>
      <c r="F110" s="157"/>
      <c r="G110" s="157"/>
      <c r="H110" s="157"/>
      <c r="I110" s="157"/>
      <c r="J110" s="157"/>
      <c r="K110" s="157"/>
      <c r="L110" s="157"/>
      <c r="M110" s="157"/>
      <c r="N110" s="157"/>
      <c r="O110" s="157"/>
    </row>
    <row r="111" spans="1:15">
      <c r="A111" s="157"/>
      <c r="B111" s="157"/>
      <c r="C111" s="157"/>
      <c r="D111" s="157"/>
      <c r="E111" s="157"/>
      <c r="F111" s="157"/>
      <c r="G111" s="157"/>
      <c r="H111" s="157"/>
      <c r="I111" s="157"/>
      <c r="J111" s="157"/>
      <c r="K111" s="157"/>
      <c r="L111" s="157"/>
      <c r="M111" s="157"/>
      <c r="N111" s="157"/>
      <c r="O111" s="157"/>
    </row>
    <row r="112" spans="1:15">
      <c r="A112" s="157"/>
      <c r="B112" s="157"/>
      <c r="C112" s="157"/>
      <c r="D112" s="157"/>
      <c r="E112" s="157"/>
      <c r="F112" s="157"/>
      <c r="G112" s="157"/>
      <c r="H112" s="157"/>
      <c r="I112" s="157"/>
      <c r="J112" s="157"/>
      <c r="K112" s="157"/>
      <c r="L112" s="157"/>
      <c r="M112" s="157"/>
      <c r="N112" s="157"/>
      <c r="O112" s="157"/>
    </row>
    <row r="113" spans="1:15">
      <c r="A113" s="157"/>
      <c r="B113" s="157"/>
      <c r="C113" s="157"/>
      <c r="D113" s="157"/>
      <c r="E113" s="157"/>
      <c r="F113" s="157"/>
      <c r="G113" s="157"/>
      <c r="H113" s="157"/>
      <c r="I113" s="157"/>
      <c r="J113" s="157"/>
      <c r="K113" s="157"/>
      <c r="L113" s="157"/>
      <c r="M113" s="157"/>
      <c r="N113" s="157"/>
      <c r="O113" s="157"/>
    </row>
    <row r="114" spans="1:15">
      <c r="A114" s="157"/>
      <c r="B114" s="157"/>
      <c r="C114" s="157"/>
      <c r="D114" s="157"/>
      <c r="E114" s="157"/>
      <c r="F114" s="157"/>
      <c r="G114" s="157"/>
      <c r="H114" s="157"/>
      <c r="I114" s="157"/>
      <c r="J114" s="157"/>
      <c r="K114" s="157"/>
      <c r="L114" s="157"/>
      <c r="M114" s="157"/>
      <c r="N114" s="157"/>
      <c r="O114" s="157"/>
    </row>
    <row r="115" spans="1:15">
      <c r="A115" s="157"/>
      <c r="B115" s="157"/>
      <c r="C115" s="157"/>
      <c r="D115" s="157"/>
      <c r="E115" s="157"/>
      <c r="F115" s="157"/>
      <c r="G115" s="157"/>
      <c r="H115" s="157"/>
      <c r="I115" s="157"/>
      <c r="J115" s="157"/>
      <c r="K115" s="157"/>
      <c r="L115" s="157"/>
      <c r="M115" s="157"/>
      <c r="N115" s="157"/>
      <c r="O115" s="157"/>
    </row>
    <row r="116" spans="1:15">
      <c r="A116" s="157"/>
      <c r="B116" s="157"/>
      <c r="C116" s="157"/>
      <c r="D116" s="157"/>
      <c r="E116" s="157"/>
      <c r="F116" s="157"/>
      <c r="G116" s="157"/>
      <c r="H116" s="157"/>
      <c r="I116" s="157"/>
      <c r="J116" s="157"/>
      <c r="K116" s="157"/>
      <c r="L116" s="157"/>
      <c r="M116" s="157"/>
      <c r="N116" s="157"/>
      <c r="O116" s="157"/>
    </row>
    <row r="117" spans="1:15">
      <c r="A117" s="157"/>
      <c r="B117" s="157"/>
      <c r="C117" s="157"/>
      <c r="D117" s="157"/>
      <c r="E117" s="157"/>
      <c r="F117" s="157"/>
      <c r="G117" s="157"/>
      <c r="H117" s="157"/>
      <c r="I117" s="157"/>
      <c r="J117" s="157"/>
      <c r="K117" s="157"/>
      <c r="L117" s="157"/>
      <c r="M117" s="157"/>
      <c r="N117" s="157"/>
      <c r="O117" s="157"/>
    </row>
    <row r="118" spans="1:15">
      <c r="A118" s="157"/>
      <c r="B118" s="157"/>
      <c r="C118" s="157"/>
      <c r="D118" s="157"/>
      <c r="E118" s="157"/>
      <c r="F118" s="157"/>
      <c r="G118" s="157"/>
      <c r="H118" s="157"/>
      <c r="I118" s="157"/>
      <c r="J118" s="157"/>
      <c r="K118" s="157"/>
      <c r="L118" s="157"/>
      <c r="M118" s="157"/>
      <c r="N118" s="157"/>
      <c r="O118" s="157"/>
    </row>
    <row r="119" spans="1:15">
      <c r="A119" s="157"/>
      <c r="B119" s="157"/>
      <c r="C119" s="157"/>
      <c r="D119" s="157"/>
      <c r="E119" s="157"/>
      <c r="F119" s="157"/>
      <c r="G119" s="157"/>
      <c r="H119" s="157"/>
      <c r="I119" s="157"/>
      <c r="J119" s="157"/>
      <c r="K119" s="157"/>
      <c r="L119" s="157"/>
      <c r="M119" s="157"/>
      <c r="N119" s="157"/>
      <c r="O119" s="157"/>
    </row>
    <row r="120" spans="1:15">
      <c r="A120" s="157"/>
      <c r="B120" s="157"/>
      <c r="C120" s="157"/>
      <c r="D120" s="157"/>
      <c r="E120" s="157"/>
      <c r="F120" s="157"/>
      <c r="G120" s="157"/>
      <c r="H120" s="157"/>
      <c r="I120" s="157"/>
      <c r="J120" s="157"/>
      <c r="K120" s="157"/>
      <c r="L120" s="157"/>
      <c r="M120" s="157"/>
      <c r="N120" s="157"/>
      <c r="O120" s="157"/>
    </row>
    <row r="121" spans="1:15">
      <c r="A121" s="157"/>
      <c r="B121" s="157"/>
      <c r="C121" s="157"/>
      <c r="D121" s="157"/>
      <c r="E121" s="157"/>
      <c r="F121" s="157"/>
      <c r="G121" s="157"/>
      <c r="H121" s="157"/>
      <c r="I121" s="157"/>
      <c r="J121" s="157"/>
      <c r="K121" s="157"/>
      <c r="L121" s="157"/>
      <c r="M121" s="157"/>
      <c r="N121" s="157"/>
      <c r="O121" s="157"/>
    </row>
    <row r="122" spans="1:15">
      <c r="A122" s="157"/>
      <c r="B122" s="157"/>
      <c r="C122" s="157"/>
      <c r="D122" s="157"/>
      <c r="E122" s="157"/>
      <c r="F122" s="157"/>
      <c r="G122" s="157"/>
      <c r="H122" s="157"/>
      <c r="I122" s="157"/>
      <c r="J122" s="157"/>
      <c r="K122" s="157"/>
      <c r="L122" s="157"/>
      <c r="M122" s="157"/>
      <c r="N122" s="157"/>
      <c r="O122" s="157"/>
    </row>
    <row r="123" spans="1:15">
      <c r="A123" s="157"/>
      <c r="B123" s="157"/>
      <c r="C123" s="157"/>
      <c r="D123" s="157"/>
      <c r="E123" s="157"/>
      <c r="F123" s="157"/>
      <c r="G123" s="157"/>
      <c r="H123" s="157"/>
      <c r="I123" s="157"/>
      <c r="J123" s="157"/>
      <c r="K123" s="157"/>
      <c r="L123" s="157"/>
      <c r="M123" s="157"/>
      <c r="N123" s="157"/>
      <c r="O123" s="157"/>
    </row>
    <row r="124" spans="1:15">
      <c r="A124" s="157"/>
      <c r="B124" s="157"/>
      <c r="C124" s="157"/>
      <c r="D124" s="157"/>
      <c r="E124" s="157"/>
      <c r="F124" s="157"/>
      <c r="G124" s="157"/>
      <c r="H124" s="157"/>
      <c r="I124" s="157"/>
      <c r="J124" s="157"/>
      <c r="K124" s="157"/>
      <c r="L124" s="157"/>
      <c r="M124" s="157"/>
      <c r="N124" s="157"/>
      <c r="O124" s="157"/>
    </row>
    <row r="125" spans="1:15">
      <c r="A125" s="157"/>
      <c r="B125" s="157"/>
      <c r="C125" s="157"/>
      <c r="D125" s="157"/>
      <c r="E125" s="157"/>
      <c r="F125" s="157"/>
      <c r="G125" s="157"/>
      <c r="H125" s="157"/>
      <c r="I125" s="157"/>
      <c r="J125" s="157"/>
      <c r="K125" s="157"/>
      <c r="L125" s="157"/>
      <c r="M125" s="157"/>
      <c r="N125" s="157"/>
      <c r="O125" s="157"/>
    </row>
    <row r="126" spans="1:15">
      <c r="A126" s="157"/>
      <c r="B126" s="157"/>
      <c r="C126" s="157"/>
      <c r="D126" s="157"/>
      <c r="E126" s="157"/>
      <c r="F126" s="157"/>
      <c r="G126" s="157"/>
      <c r="H126" s="157"/>
      <c r="I126" s="157"/>
      <c r="J126" s="157"/>
      <c r="K126" s="157"/>
      <c r="L126" s="157"/>
      <c r="M126" s="157"/>
      <c r="N126" s="157"/>
      <c r="O126" s="157"/>
    </row>
    <row r="127" spans="1:15">
      <c r="A127" s="157"/>
      <c r="B127" s="157"/>
      <c r="C127" s="157"/>
      <c r="D127" s="157"/>
      <c r="E127" s="157"/>
      <c r="F127" s="157"/>
      <c r="G127" s="157"/>
      <c r="H127" s="157"/>
      <c r="I127" s="157"/>
      <c r="J127" s="157"/>
      <c r="K127" s="157"/>
      <c r="L127" s="157"/>
      <c r="M127" s="157"/>
      <c r="N127" s="157"/>
      <c r="O127" s="157"/>
    </row>
    <row r="128" spans="1:15">
      <c r="A128" s="157"/>
      <c r="B128" s="157"/>
      <c r="C128" s="157"/>
      <c r="D128" s="157"/>
      <c r="E128" s="157"/>
      <c r="F128" s="157"/>
      <c r="G128" s="157"/>
      <c r="H128" s="157"/>
      <c r="I128" s="157"/>
      <c r="J128" s="157"/>
      <c r="K128" s="157"/>
      <c r="L128" s="157"/>
      <c r="M128" s="157"/>
      <c r="N128" s="157"/>
      <c r="O128" s="157"/>
    </row>
    <row r="129" spans="1:15">
      <c r="A129" s="157"/>
      <c r="B129" s="157"/>
      <c r="C129" s="157"/>
      <c r="D129" s="157"/>
      <c r="E129" s="157"/>
      <c r="F129" s="157"/>
      <c r="G129" s="157"/>
      <c r="H129" s="157"/>
      <c r="I129" s="157"/>
      <c r="J129" s="157"/>
      <c r="K129" s="157"/>
      <c r="L129" s="157"/>
      <c r="M129" s="157"/>
      <c r="N129" s="157"/>
      <c r="O129" s="157"/>
    </row>
    <row r="130" spans="1:15">
      <c r="A130" s="157"/>
      <c r="B130" s="157"/>
      <c r="C130" s="157"/>
      <c r="D130" s="157"/>
      <c r="E130" s="157"/>
      <c r="F130" s="157"/>
      <c r="G130" s="157"/>
      <c r="H130" s="157"/>
      <c r="I130" s="157"/>
      <c r="J130" s="157"/>
      <c r="K130" s="157"/>
      <c r="L130" s="157"/>
      <c r="M130" s="157"/>
      <c r="N130" s="157"/>
      <c r="O130" s="157"/>
    </row>
    <row r="131" spans="1:15">
      <c r="A131" s="157"/>
      <c r="B131" s="157"/>
      <c r="C131" s="157"/>
      <c r="D131" s="157"/>
      <c r="E131" s="157"/>
      <c r="F131" s="157"/>
      <c r="G131" s="157"/>
      <c r="H131" s="157"/>
      <c r="I131" s="157"/>
      <c r="J131" s="157"/>
      <c r="K131" s="157"/>
      <c r="L131" s="157"/>
      <c r="M131" s="157"/>
      <c r="N131" s="157"/>
      <c r="O131" s="157"/>
    </row>
    <row r="132" spans="1:15">
      <c r="A132" s="157"/>
      <c r="B132" s="157"/>
      <c r="C132" s="157"/>
      <c r="D132" s="157"/>
      <c r="E132" s="157"/>
      <c r="F132" s="157"/>
      <c r="G132" s="157"/>
      <c r="H132" s="157"/>
      <c r="I132" s="157"/>
      <c r="J132" s="157"/>
      <c r="K132" s="157"/>
      <c r="L132" s="157"/>
      <c r="M132" s="157"/>
      <c r="N132" s="157"/>
      <c r="O132" s="157"/>
    </row>
    <row r="133" spans="1:15">
      <c r="A133" s="157"/>
      <c r="B133" s="157"/>
      <c r="C133" s="157"/>
      <c r="D133" s="157"/>
      <c r="E133" s="157"/>
      <c r="F133" s="157"/>
      <c r="G133" s="157"/>
      <c r="H133" s="157"/>
      <c r="I133" s="157"/>
      <c r="J133" s="157"/>
      <c r="K133" s="157"/>
      <c r="L133" s="157"/>
      <c r="M133" s="157"/>
      <c r="N133" s="157"/>
      <c r="O133" s="157"/>
    </row>
    <row r="134" spans="1:15">
      <c r="A134" s="157"/>
      <c r="B134" s="157"/>
      <c r="C134" s="157"/>
      <c r="D134" s="157"/>
      <c r="E134" s="157"/>
      <c r="F134" s="157"/>
      <c r="G134" s="157"/>
      <c r="H134" s="157"/>
      <c r="I134" s="157"/>
      <c r="J134" s="157"/>
      <c r="K134" s="157"/>
      <c r="L134" s="157"/>
      <c r="M134" s="157"/>
      <c r="N134" s="157"/>
      <c r="O134" s="157"/>
    </row>
    <row r="135" spans="1:15">
      <c r="A135" s="157"/>
      <c r="B135" s="157"/>
      <c r="C135" s="157"/>
      <c r="D135" s="157"/>
      <c r="E135" s="157"/>
      <c r="F135" s="157"/>
      <c r="G135" s="157"/>
      <c r="H135" s="157"/>
      <c r="I135" s="157"/>
      <c r="J135" s="157"/>
      <c r="K135" s="157"/>
      <c r="L135" s="157"/>
      <c r="M135" s="157"/>
      <c r="N135" s="157"/>
      <c r="O135" s="157"/>
    </row>
    <row r="136" spans="1:15">
      <c r="A136" s="157"/>
      <c r="B136" s="157"/>
      <c r="C136" s="157"/>
      <c r="D136" s="157"/>
      <c r="E136" s="157"/>
      <c r="F136" s="157"/>
      <c r="G136" s="157"/>
      <c r="H136" s="157"/>
      <c r="I136" s="157"/>
      <c r="J136" s="157"/>
      <c r="K136" s="157"/>
      <c r="L136" s="157"/>
      <c r="M136" s="157"/>
      <c r="N136" s="157"/>
      <c r="O136" s="157"/>
    </row>
    <row r="137" spans="1:15">
      <c r="A137" s="157"/>
      <c r="B137" s="157"/>
      <c r="C137" s="157"/>
      <c r="D137" s="157"/>
      <c r="E137" s="157"/>
      <c r="F137" s="157"/>
      <c r="G137" s="157"/>
      <c r="H137" s="157"/>
      <c r="I137" s="157"/>
      <c r="J137" s="157"/>
      <c r="K137" s="157"/>
      <c r="L137" s="157"/>
      <c r="M137" s="157"/>
      <c r="N137" s="157"/>
      <c r="O137" s="157"/>
    </row>
    <row r="138" spans="1:15">
      <c r="A138" s="157"/>
      <c r="B138" s="157"/>
      <c r="C138" s="157"/>
      <c r="D138" s="157"/>
      <c r="E138" s="157"/>
      <c r="F138" s="157"/>
      <c r="G138" s="157"/>
      <c r="H138" s="157"/>
      <c r="I138" s="157"/>
      <c r="J138" s="157"/>
      <c r="K138" s="157"/>
      <c r="L138" s="157"/>
      <c r="M138" s="157"/>
      <c r="N138" s="157"/>
      <c r="O138" s="157"/>
    </row>
    <row r="139" spans="1:15">
      <c r="A139" s="157"/>
      <c r="B139" s="157"/>
      <c r="C139" s="157"/>
      <c r="D139" s="157"/>
      <c r="E139" s="157"/>
      <c r="F139" s="157"/>
      <c r="G139" s="157"/>
      <c r="H139" s="157"/>
      <c r="I139" s="157"/>
      <c r="J139" s="157"/>
      <c r="K139" s="157"/>
      <c r="L139" s="157"/>
      <c r="M139" s="157"/>
      <c r="N139" s="157"/>
      <c r="O139" s="157"/>
    </row>
    <row r="140" spans="1:15">
      <c r="A140" s="157"/>
      <c r="B140" s="157"/>
      <c r="C140" s="157"/>
      <c r="D140" s="157"/>
      <c r="E140" s="157"/>
      <c r="F140" s="157"/>
      <c r="G140" s="157"/>
      <c r="H140" s="157"/>
      <c r="I140" s="157"/>
      <c r="J140" s="157"/>
      <c r="K140" s="157"/>
      <c r="L140" s="157"/>
      <c r="M140" s="157"/>
      <c r="N140" s="157"/>
      <c r="O140" s="157"/>
    </row>
    <row r="141" spans="1:15">
      <c r="A141" s="157"/>
      <c r="B141" s="157"/>
      <c r="C141" s="157"/>
      <c r="D141" s="157"/>
      <c r="E141" s="157"/>
      <c r="F141" s="157"/>
      <c r="G141" s="157"/>
      <c r="H141" s="157"/>
      <c r="I141" s="157"/>
      <c r="J141" s="157"/>
      <c r="K141" s="157"/>
      <c r="L141" s="157"/>
      <c r="M141" s="157"/>
      <c r="N141" s="157"/>
      <c r="O141" s="157"/>
    </row>
    <row r="142" spans="1:15">
      <c r="A142" s="157"/>
      <c r="B142" s="157"/>
      <c r="C142" s="157"/>
      <c r="D142" s="157"/>
      <c r="E142" s="157"/>
      <c r="F142" s="157"/>
      <c r="G142" s="157"/>
      <c r="H142" s="157"/>
      <c r="I142" s="157"/>
      <c r="J142" s="157"/>
      <c r="K142" s="157"/>
      <c r="L142" s="157"/>
      <c r="M142" s="157"/>
      <c r="N142" s="157"/>
      <c r="O142" s="157"/>
    </row>
    <row r="143" spans="1:15">
      <c r="A143" s="157"/>
      <c r="B143" s="157"/>
      <c r="C143" s="157"/>
      <c r="D143" s="157"/>
      <c r="E143" s="157"/>
      <c r="F143" s="157"/>
      <c r="G143" s="157"/>
      <c r="H143" s="157"/>
      <c r="I143" s="157"/>
      <c r="J143" s="157"/>
      <c r="K143" s="157"/>
      <c r="L143" s="157"/>
      <c r="M143" s="157"/>
      <c r="N143" s="157"/>
      <c r="O143" s="157"/>
    </row>
    <row r="144" spans="1:15">
      <c r="A144" s="157"/>
      <c r="B144" s="157"/>
      <c r="C144" s="157"/>
      <c r="D144" s="157"/>
      <c r="E144" s="157"/>
      <c r="F144" s="157"/>
      <c r="G144" s="157"/>
      <c r="H144" s="157"/>
      <c r="I144" s="157"/>
      <c r="J144" s="157"/>
      <c r="K144" s="157"/>
      <c r="L144" s="157"/>
      <c r="M144" s="157"/>
      <c r="N144" s="157"/>
      <c r="O144" s="157"/>
    </row>
    <row r="145" spans="1:15">
      <c r="A145" s="157"/>
      <c r="B145" s="157"/>
      <c r="C145" s="157"/>
      <c r="D145" s="157"/>
      <c r="E145" s="157"/>
      <c r="F145" s="157"/>
      <c r="G145" s="157"/>
      <c r="H145" s="157"/>
      <c r="I145" s="157"/>
      <c r="J145" s="157"/>
      <c r="K145" s="157"/>
      <c r="L145" s="157"/>
      <c r="M145" s="157"/>
      <c r="N145" s="157"/>
      <c r="O145" s="157"/>
    </row>
    <row r="146" spans="1:15">
      <c r="A146" s="157"/>
      <c r="B146" s="157"/>
      <c r="C146" s="157"/>
      <c r="D146" s="157"/>
      <c r="E146" s="157"/>
      <c r="F146" s="157"/>
      <c r="G146" s="157"/>
      <c r="H146" s="157"/>
      <c r="I146" s="157"/>
      <c r="J146" s="157"/>
      <c r="K146" s="157"/>
      <c r="L146" s="157"/>
      <c r="M146" s="157"/>
      <c r="N146" s="157"/>
      <c r="O146" s="157"/>
    </row>
    <row r="147" spans="1:15">
      <c r="A147" s="157"/>
      <c r="B147" s="157"/>
      <c r="C147" s="157"/>
      <c r="D147" s="157"/>
      <c r="E147" s="157"/>
      <c r="F147" s="157"/>
      <c r="G147" s="157"/>
      <c r="H147" s="157"/>
      <c r="I147" s="157"/>
      <c r="J147" s="157"/>
      <c r="K147" s="157"/>
      <c r="L147" s="157"/>
      <c r="M147" s="157"/>
      <c r="N147" s="157"/>
      <c r="O147" s="157"/>
    </row>
    <row r="148" spans="1:15">
      <c r="A148" s="157"/>
      <c r="B148" s="157"/>
      <c r="C148" s="157"/>
      <c r="D148" s="157"/>
      <c r="E148" s="157"/>
      <c r="F148" s="157"/>
      <c r="G148" s="157"/>
      <c r="H148" s="157"/>
      <c r="I148" s="157"/>
      <c r="J148" s="157"/>
      <c r="K148" s="157"/>
      <c r="L148" s="157"/>
      <c r="M148" s="157"/>
      <c r="N148" s="157"/>
      <c r="O148" s="157"/>
    </row>
    <row r="149" spans="1:15">
      <c r="A149" s="157"/>
      <c r="B149" s="157"/>
      <c r="C149" s="157"/>
      <c r="D149" s="157"/>
      <c r="E149" s="157"/>
      <c r="F149" s="157"/>
      <c r="G149" s="157"/>
      <c r="H149" s="157"/>
      <c r="I149" s="157"/>
      <c r="J149" s="157"/>
      <c r="K149" s="157"/>
      <c r="L149" s="157"/>
      <c r="M149" s="157"/>
      <c r="N149" s="157"/>
      <c r="O149" s="157"/>
    </row>
    <row r="150" spans="1:15">
      <c r="A150" s="157"/>
      <c r="B150" s="157"/>
      <c r="C150" s="157"/>
      <c r="D150" s="157"/>
      <c r="E150" s="157"/>
      <c r="F150" s="157"/>
      <c r="G150" s="157"/>
      <c r="H150" s="157"/>
      <c r="I150" s="157"/>
      <c r="J150" s="157"/>
      <c r="K150" s="157"/>
      <c r="L150" s="157"/>
      <c r="M150" s="157"/>
      <c r="N150" s="157"/>
      <c r="O150" s="157"/>
    </row>
    <row r="151" spans="1:15">
      <c r="A151" s="157"/>
      <c r="B151" s="157"/>
      <c r="C151" s="157"/>
      <c r="D151" s="157"/>
      <c r="E151" s="157"/>
      <c r="F151" s="157"/>
      <c r="G151" s="157"/>
      <c r="H151" s="157"/>
      <c r="I151" s="157"/>
      <c r="J151" s="157"/>
      <c r="K151" s="157"/>
      <c r="L151" s="157"/>
      <c r="M151" s="157"/>
      <c r="N151" s="157"/>
      <c r="O151" s="157"/>
    </row>
    <row r="152" spans="1:15">
      <c r="A152" s="157"/>
      <c r="B152" s="157"/>
      <c r="C152" s="157"/>
      <c r="D152" s="157"/>
      <c r="E152" s="157"/>
      <c r="F152" s="157"/>
      <c r="G152" s="157"/>
      <c r="H152" s="157"/>
      <c r="I152" s="157"/>
      <c r="J152" s="157"/>
      <c r="K152" s="157"/>
      <c r="L152" s="157"/>
      <c r="M152" s="157"/>
      <c r="N152" s="157"/>
      <c r="O152" s="157"/>
    </row>
    <row r="153" spans="1:15">
      <c r="A153" s="157"/>
      <c r="B153" s="157"/>
      <c r="C153" s="157"/>
      <c r="D153" s="157"/>
      <c r="E153" s="157"/>
      <c r="F153" s="157"/>
      <c r="G153" s="157"/>
      <c r="H153" s="157"/>
      <c r="I153" s="157"/>
      <c r="J153" s="157"/>
      <c r="K153" s="157"/>
      <c r="L153" s="157"/>
      <c r="M153" s="157"/>
      <c r="N153" s="157"/>
      <c r="O153" s="157"/>
    </row>
    <row r="154" spans="1:15">
      <c r="A154" s="157"/>
      <c r="B154" s="157"/>
      <c r="C154" s="157"/>
      <c r="D154" s="157"/>
      <c r="E154" s="157"/>
      <c r="F154" s="157"/>
      <c r="G154" s="157"/>
      <c r="H154" s="157"/>
      <c r="I154" s="157"/>
      <c r="J154" s="157"/>
      <c r="K154" s="157"/>
      <c r="L154" s="157"/>
      <c r="M154" s="157"/>
      <c r="N154" s="157"/>
      <c r="O154" s="157"/>
    </row>
    <row r="155" spans="1:15">
      <c r="A155" s="157"/>
      <c r="B155" s="157"/>
      <c r="C155" s="157"/>
      <c r="D155" s="157"/>
      <c r="E155" s="157"/>
      <c r="F155" s="157"/>
      <c r="G155" s="157"/>
      <c r="H155" s="157"/>
      <c r="I155" s="157"/>
      <c r="J155" s="157"/>
      <c r="K155" s="157"/>
      <c r="L155" s="157"/>
      <c r="M155" s="157"/>
      <c r="N155" s="157"/>
      <c r="O155" s="157"/>
    </row>
    <row r="156" spans="1:15">
      <c r="A156" s="157"/>
      <c r="B156" s="157"/>
      <c r="C156" s="157"/>
      <c r="D156" s="157"/>
      <c r="E156" s="157"/>
      <c r="F156" s="157"/>
      <c r="G156" s="157"/>
      <c r="H156" s="157"/>
      <c r="I156" s="157"/>
      <c r="J156" s="157"/>
      <c r="K156" s="157"/>
      <c r="L156" s="157"/>
      <c r="M156" s="157"/>
      <c r="N156" s="157"/>
      <c r="O156" s="157"/>
    </row>
    <row r="157" spans="1:15">
      <c r="A157" s="157"/>
      <c r="B157" s="157"/>
      <c r="C157" s="157"/>
      <c r="D157" s="157"/>
      <c r="E157" s="157"/>
      <c r="F157" s="157"/>
      <c r="G157" s="157"/>
      <c r="H157" s="157"/>
      <c r="I157" s="157"/>
      <c r="J157" s="157"/>
      <c r="K157" s="157"/>
      <c r="L157" s="157"/>
      <c r="M157" s="157"/>
      <c r="N157" s="157"/>
      <c r="O157" s="157"/>
    </row>
    <row r="158" spans="1:15">
      <c r="A158" s="157"/>
      <c r="B158" s="157"/>
      <c r="C158" s="157"/>
      <c r="D158" s="157"/>
      <c r="E158" s="157"/>
      <c r="F158" s="157"/>
      <c r="G158" s="157"/>
      <c r="H158" s="157"/>
      <c r="I158" s="157"/>
      <c r="J158" s="157"/>
      <c r="K158" s="157"/>
      <c r="L158" s="157"/>
      <c r="M158" s="157"/>
      <c r="N158" s="157"/>
      <c r="O158" s="157"/>
    </row>
    <row r="159" spans="1:15">
      <c r="A159" s="157"/>
      <c r="B159" s="157"/>
      <c r="C159" s="157"/>
      <c r="D159" s="157"/>
      <c r="E159" s="157"/>
      <c r="F159" s="157"/>
      <c r="G159" s="157"/>
      <c r="H159" s="157"/>
      <c r="I159" s="157"/>
      <c r="J159" s="157"/>
      <c r="K159" s="157"/>
      <c r="L159" s="157"/>
      <c r="M159" s="157"/>
      <c r="N159" s="157"/>
      <c r="O159" s="157"/>
    </row>
    <row r="160" spans="1:15">
      <c r="A160" s="157"/>
      <c r="B160" s="157"/>
      <c r="C160" s="157"/>
      <c r="D160" s="157"/>
      <c r="E160" s="157"/>
      <c r="F160" s="157"/>
      <c r="G160" s="157"/>
      <c r="H160" s="157"/>
      <c r="I160" s="157"/>
      <c r="J160" s="157"/>
      <c r="K160" s="157"/>
      <c r="L160" s="157"/>
      <c r="M160" s="157"/>
      <c r="N160" s="157"/>
      <c r="O160" s="157"/>
    </row>
    <row r="161" spans="1:15">
      <c r="A161" s="157"/>
      <c r="B161" s="157"/>
      <c r="C161" s="157"/>
      <c r="D161" s="157"/>
      <c r="E161" s="157"/>
      <c r="F161" s="157"/>
      <c r="G161" s="157"/>
      <c r="H161" s="157"/>
      <c r="I161" s="157"/>
      <c r="J161" s="157"/>
      <c r="K161" s="157"/>
      <c r="L161" s="157"/>
      <c r="M161" s="157"/>
      <c r="N161" s="157"/>
      <c r="O161" s="157"/>
    </row>
    <row r="162" spans="1:15">
      <c r="A162" s="157"/>
      <c r="B162" s="157"/>
      <c r="C162" s="157"/>
      <c r="D162" s="157"/>
      <c r="E162" s="157"/>
      <c r="F162" s="157"/>
      <c r="G162" s="157"/>
      <c r="H162" s="157"/>
      <c r="I162" s="157"/>
      <c r="J162" s="157"/>
      <c r="K162" s="157"/>
      <c r="L162" s="157"/>
      <c r="M162" s="157"/>
      <c r="N162" s="157"/>
      <c r="O162" s="157"/>
    </row>
    <row r="163" spans="1:15">
      <c r="A163" s="157"/>
      <c r="B163" s="157"/>
      <c r="C163" s="157"/>
      <c r="D163" s="157"/>
      <c r="E163" s="157"/>
      <c r="F163" s="157"/>
      <c r="G163" s="157"/>
      <c r="H163" s="157"/>
      <c r="I163" s="157"/>
      <c r="J163" s="157"/>
      <c r="K163" s="157"/>
      <c r="L163" s="157"/>
      <c r="M163" s="157"/>
      <c r="N163" s="157"/>
      <c r="O163" s="157"/>
    </row>
    <row r="164" spans="1:15">
      <c r="A164" s="157"/>
      <c r="B164" s="157"/>
      <c r="C164" s="157"/>
      <c r="D164" s="157"/>
      <c r="E164" s="157"/>
      <c r="F164" s="157"/>
      <c r="G164" s="157"/>
      <c r="H164" s="157"/>
      <c r="I164" s="157"/>
      <c r="J164" s="157"/>
      <c r="K164" s="157"/>
      <c r="L164" s="157"/>
      <c r="M164" s="157"/>
      <c r="N164" s="157"/>
      <c r="O164" s="157"/>
    </row>
    <row r="165" spans="1:15">
      <c r="A165" s="157"/>
      <c r="B165" s="157"/>
      <c r="C165" s="157"/>
      <c r="D165" s="157"/>
      <c r="E165" s="157"/>
      <c r="F165" s="157"/>
      <c r="G165" s="157"/>
      <c r="H165" s="157"/>
      <c r="I165" s="157"/>
      <c r="J165" s="157"/>
      <c r="K165" s="157"/>
      <c r="L165" s="157"/>
      <c r="M165" s="157"/>
      <c r="N165" s="157"/>
      <c r="O165" s="157"/>
    </row>
    <row r="166" spans="1:15">
      <c r="A166" s="157"/>
      <c r="B166" s="157"/>
      <c r="C166" s="157"/>
      <c r="D166" s="157"/>
      <c r="E166" s="157"/>
      <c r="F166" s="157"/>
      <c r="G166" s="157"/>
      <c r="H166" s="157"/>
      <c r="I166" s="157"/>
      <c r="J166" s="157"/>
      <c r="K166" s="157"/>
      <c r="L166" s="157"/>
      <c r="M166" s="157"/>
      <c r="N166" s="157"/>
      <c r="O166" s="157"/>
    </row>
    <row r="167" spans="1:15">
      <c r="A167" s="157"/>
      <c r="B167" s="157"/>
      <c r="C167" s="157"/>
      <c r="D167" s="157"/>
      <c r="E167" s="157"/>
      <c r="F167" s="157"/>
      <c r="G167" s="157"/>
      <c r="H167" s="157"/>
      <c r="I167" s="157"/>
      <c r="J167" s="157"/>
      <c r="K167" s="157"/>
      <c r="L167" s="157"/>
      <c r="M167" s="157"/>
      <c r="N167" s="157"/>
      <c r="O167" s="157"/>
    </row>
    <row r="168" spans="1:15">
      <c r="A168" s="157"/>
      <c r="B168" s="157"/>
      <c r="C168" s="157"/>
      <c r="D168" s="157"/>
      <c r="E168" s="157"/>
      <c r="F168" s="157"/>
      <c r="G168" s="157"/>
      <c r="H168" s="157"/>
      <c r="I168" s="157"/>
      <c r="J168" s="157"/>
      <c r="K168" s="157"/>
      <c r="L168" s="157"/>
      <c r="M168" s="157"/>
      <c r="N168" s="157"/>
      <c r="O168" s="157"/>
    </row>
    <row r="169" spans="1:15">
      <c r="A169" s="157"/>
      <c r="B169" s="157"/>
      <c r="C169" s="157"/>
      <c r="D169" s="157"/>
      <c r="E169" s="157"/>
      <c r="F169" s="157"/>
      <c r="G169" s="157"/>
      <c r="H169" s="157"/>
      <c r="I169" s="157"/>
      <c r="J169" s="157"/>
      <c r="K169" s="157"/>
      <c r="L169" s="157"/>
      <c r="M169" s="157"/>
      <c r="N169" s="157"/>
      <c r="O169" s="157"/>
    </row>
    <row r="170" spans="1:15">
      <c r="A170" s="157"/>
      <c r="B170" s="157"/>
      <c r="C170" s="157"/>
      <c r="D170" s="157"/>
      <c r="E170" s="157"/>
      <c r="F170" s="157"/>
      <c r="G170" s="157"/>
      <c r="H170" s="157"/>
      <c r="I170" s="157"/>
      <c r="J170" s="157"/>
      <c r="K170" s="157"/>
      <c r="L170" s="157"/>
      <c r="M170" s="157"/>
      <c r="N170" s="157"/>
      <c r="O170" s="157"/>
    </row>
    <row r="171" spans="1:15">
      <c r="A171" s="157"/>
      <c r="B171" s="157"/>
      <c r="C171" s="157"/>
      <c r="D171" s="157"/>
      <c r="E171" s="157"/>
      <c r="F171" s="157"/>
      <c r="G171" s="157"/>
      <c r="H171" s="157"/>
      <c r="I171" s="157"/>
      <c r="J171" s="157"/>
      <c r="K171" s="157"/>
      <c r="L171" s="157"/>
      <c r="M171" s="157"/>
      <c r="N171" s="157"/>
      <c r="O171" s="157"/>
    </row>
    <row r="172" spans="1:15">
      <c r="A172" s="157"/>
      <c r="B172" s="157"/>
      <c r="C172" s="157"/>
      <c r="D172" s="157"/>
      <c r="E172" s="157"/>
      <c r="F172" s="157"/>
      <c r="G172" s="157"/>
      <c r="H172" s="157"/>
      <c r="I172" s="157"/>
      <c r="J172" s="157"/>
      <c r="K172" s="157"/>
      <c r="L172" s="157"/>
      <c r="M172" s="157"/>
      <c r="N172" s="157"/>
      <c r="O172" s="157"/>
    </row>
    <row r="173" spans="1:15">
      <c r="A173" s="157"/>
      <c r="B173" s="157"/>
      <c r="C173" s="157"/>
      <c r="D173" s="157"/>
      <c r="E173" s="157"/>
      <c r="F173" s="157"/>
      <c r="G173" s="157"/>
      <c r="H173" s="157"/>
      <c r="I173" s="157"/>
      <c r="J173" s="157"/>
      <c r="K173" s="157"/>
      <c r="L173" s="157"/>
      <c r="M173" s="157"/>
      <c r="N173" s="157"/>
      <c r="O173" s="157"/>
    </row>
    <row r="174" spans="1:15">
      <c r="A174" s="157"/>
      <c r="B174" s="157"/>
      <c r="C174" s="157"/>
      <c r="D174" s="157"/>
      <c r="E174" s="157"/>
      <c r="F174" s="157"/>
      <c r="G174" s="157"/>
      <c r="H174" s="157"/>
      <c r="I174" s="157"/>
      <c r="J174" s="157"/>
      <c r="K174" s="157"/>
      <c r="L174" s="157"/>
      <c r="M174" s="157"/>
      <c r="N174" s="157"/>
      <c r="O174" s="157"/>
    </row>
  </sheetData>
  <mergeCells count="1">
    <mergeCell ref="B2:C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'Résultats détaillés GES'!$B$6:$AP$6</xm:f>
          </x14:formula1>
          <xm:sqref>C4:C5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2"/>
  <sheetViews>
    <sheetView workbookViewId="0">
      <selection activeCell="D3" sqref="D3"/>
    </sheetView>
  </sheetViews>
  <sheetFormatPr baseColWidth="10" defaultColWidth="11.5546875" defaultRowHeight="14.4"/>
  <cols>
    <col min="1" max="1" width="11.5546875" style="1"/>
    <col min="2" max="2" width="18.6640625" style="11" customWidth="1"/>
    <col min="3" max="3" width="21.5546875" style="2" customWidth="1"/>
    <col min="4" max="4" width="25.88671875" style="2" customWidth="1"/>
    <col min="5" max="5" width="21.33203125" style="162" customWidth="1"/>
    <col min="6" max="6" width="18.5546875" style="1" customWidth="1"/>
    <col min="7" max="7" width="15.88671875" style="1" customWidth="1"/>
    <col min="8" max="8" width="23.44140625" style="1" customWidth="1"/>
    <col min="9" max="9" width="22.33203125" style="1" customWidth="1"/>
    <col min="10" max="16384" width="11.5546875" style="1"/>
  </cols>
  <sheetData>
    <row r="1" spans="1:13" ht="28.95" customHeight="1">
      <c r="A1" s="180"/>
      <c r="B1" s="369" t="s">
        <v>18</v>
      </c>
      <c r="C1" s="370"/>
      <c r="D1" s="371"/>
      <c r="E1" s="181"/>
      <c r="F1" s="180"/>
      <c r="G1" s="180"/>
      <c r="H1" s="180"/>
      <c r="I1" s="180"/>
      <c r="J1" s="180"/>
      <c r="K1" s="180"/>
      <c r="L1" s="180"/>
      <c r="M1" s="180"/>
    </row>
    <row r="2" spans="1:13" ht="58.2" customHeight="1">
      <c r="A2" s="180"/>
      <c r="B2" s="286" t="s">
        <v>19</v>
      </c>
      <c r="C2" s="286" t="s">
        <v>20</v>
      </c>
      <c r="D2" s="286" t="str">
        <f>"Objectif de baisse SNBC entre "&amp;TEXT('Choix années'!$C$4,"#")&amp;" et "&amp;TEXT('Choix années'!$C$5,"#")&amp;" "</f>
        <v xml:space="preserve">Objectif de baisse SNBC entre 2019 et 2030 </v>
      </c>
      <c r="E2" s="181"/>
      <c r="F2" s="367" t="s">
        <v>21</v>
      </c>
      <c r="G2" s="368"/>
      <c r="H2" s="180"/>
      <c r="I2" s="180"/>
      <c r="J2" s="180"/>
      <c r="K2" s="180"/>
      <c r="L2" s="180"/>
      <c r="M2" s="180"/>
    </row>
    <row r="3" spans="1:13" ht="29.4" customHeight="1">
      <c r="A3" s="180"/>
      <c r="B3" s="10" t="s">
        <v>22</v>
      </c>
      <c r="C3" s="10" t="s">
        <v>23</v>
      </c>
      <c r="D3" s="9">
        <f>Industrie!D10</f>
        <v>0.4340160912873583</v>
      </c>
      <c r="E3" s="181"/>
      <c r="F3" s="180"/>
      <c r="G3" s="180"/>
      <c r="H3" s="180"/>
      <c r="I3" s="180"/>
      <c r="J3" s="180"/>
      <c r="K3" s="180"/>
      <c r="L3" s="180"/>
      <c r="M3" s="180"/>
    </row>
    <row r="4" spans="1:13">
      <c r="A4" s="180"/>
      <c r="B4" s="10" t="s">
        <v>24</v>
      </c>
      <c r="C4" s="8" t="s">
        <v>25</v>
      </c>
      <c r="D4" s="9">
        <f>Industrie!D14</f>
        <v>0.42157217119699508</v>
      </c>
      <c r="E4" s="181"/>
      <c r="F4" s="180"/>
      <c r="G4" s="180"/>
      <c r="H4" s="180"/>
      <c r="I4" s="180"/>
      <c r="J4" s="180"/>
      <c r="K4" s="180"/>
      <c r="L4" s="180"/>
      <c r="M4" s="180"/>
    </row>
    <row r="5" spans="1:13" ht="28.8">
      <c r="A5" s="180"/>
      <c r="B5" s="10" t="s">
        <v>26</v>
      </c>
      <c r="C5" s="8" t="s">
        <v>27</v>
      </c>
      <c r="D5" s="12">
        <f>Industrie!D26</f>
        <v>0.54956167682523871</v>
      </c>
      <c r="E5" s="181"/>
      <c r="F5" s="180"/>
      <c r="G5" s="180"/>
      <c r="H5" s="180"/>
      <c r="I5" s="180"/>
      <c r="J5" s="180"/>
      <c r="K5" s="180"/>
      <c r="L5" s="180"/>
      <c r="M5" s="180"/>
    </row>
    <row r="6" spans="1:13" ht="43.2">
      <c r="A6" s="180"/>
      <c r="B6" s="163" t="s">
        <v>28</v>
      </c>
      <c r="C6" s="164" t="s">
        <v>29</v>
      </c>
      <c r="D6" s="165">
        <f>Industrie!D30</f>
        <v>0.20439579298923838</v>
      </c>
      <c r="E6" s="181"/>
      <c r="F6" s="180"/>
      <c r="G6" s="180"/>
      <c r="H6" s="180"/>
      <c r="I6" s="180"/>
      <c r="J6" s="180"/>
      <c r="K6" s="180"/>
      <c r="L6" s="180"/>
      <c r="M6" s="180"/>
    </row>
    <row r="7" spans="1:13" ht="28.8">
      <c r="A7" s="180"/>
      <c r="B7" s="10" t="s">
        <v>30</v>
      </c>
      <c r="C7" s="8" t="s">
        <v>31</v>
      </c>
      <c r="D7" s="13">
        <f>Industrie!D34</f>
        <v>0.42937986891096847</v>
      </c>
      <c r="E7" s="181"/>
      <c r="F7" s="180"/>
      <c r="G7" s="180"/>
      <c r="H7" s="180"/>
      <c r="I7" s="180"/>
      <c r="J7" s="180"/>
      <c r="K7" s="180"/>
      <c r="L7" s="180"/>
      <c r="M7" s="180"/>
    </row>
    <row r="8" spans="1:13" ht="28.8">
      <c r="A8" s="180"/>
      <c r="B8" s="166" t="s">
        <v>32</v>
      </c>
      <c r="C8" s="167" t="s">
        <v>33</v>
      </c>
      <c r="D8" s="168">
        <f>Industrie!D42</f>
        <v>0.63485395877613227</v>
      </c>
      <c r="E8" s="181"/>
      <c r="F8" s="180"/>
      <c r="G8" s="180"/>
      <c r="H8" s="180"/>
      <c r="I8" s="180"/>
      <c r="J8" s="180"/>
      <c r="K8" s="180"/>
      <c r="L8" s="180"/>
      <c r="M8" s="180"/>
    </row>
    <row r="9" spans="1:13">
      <c r="A9" s="180"/>
      <c r="B9" s="163" t="s">
        <v>34</v>
      </c>
      <c r="C9" s="164" t="s">
        <v>35</v>
      </c>
      <c r="D9" s="169">
        <f>Industrie!D22</f>
        <v>0.20640818905967118</v>
      </c>
      <c r="E9" s="291" t="s">
        <v>36</v>
      </c>
      <c r="F9" s="180"/>
      <c r="G9" s="180"/>
      <c r="H9" s="180"/>
      <c r="I9" s="180"/>
      <c r="J9" s="180"/>
      <c r="K9" s="180"/>
      <c r="L9" s="180"/>
      <c r="M9" s="180"/>
    </row>
    <row r="10" spans="1:13">
      <c r="A10" s="180"/>
      <c r="B10" s="163" t="s">
        <v>34</v>
      </c>
      <c r="C10" s="164" t="s">
        <v>37</v>
      </c>
      <c r="D10" s="169">
        <f>Industrie!D18</f>
        <v>0.54241583773905888</v>
      </c>
      <c r="E10" s="291" t="s">
        <v>36</v>
      </c>
      <c r="F10" s="180"/>
      <c r="G10" s="180"/>
      <c r="H10" s="180"/>
      <c r="I10" s="180"/>
      <c r="J10" s="180"/>
      <c r="K10" s="180"/>
      <c r="L10" s="180"/>
      <c r="M10" s="180"/>
    </row>
    <row r="11" spans="1:13">
      <c r="A11" s="180"/>
      <c r="B11" s="10" t="s">
        <v>38</v>
      </c>
      <c r="C11" s="8" t="s">
        <v>39</v>
      </c>
      <c r="D11" s="170">
        <f>Industrie!D62</f>
        <v>0.50526473546780837</v>
      </c>
      <c r="E11" s="291" t="s">
        <v>36</v>
      </c>
      <c r="F11" s="180"/>
      <c r="G11" s="180"/>
      <c r="H11" s="180"/>
      <c r="I11" s="180"/>
      <c r="J11" s="180"/>
      <c r="K11" s="180"/>
      <c r="L11" s="180"/>
      <c r="M11" s="180"/>
    </row>
    <row r="12" spans="1:13" ht="28.8">
      <c r="A12" s="180"/>
      <c r="B12" s="163" t="s">
        <v>30</v>
      </c>
      <c r="C12" s="164" t="s">
        <v>40</v>
      </c>
      <c r="D12" s="169">
        <f>Industrie!D38</f>
        <v>0.69967980364429361</v>
      </c>
      <c r="E12" s="291" t="s">
        <v>36</v>
      </c>
      <c r="F12" s="180"/>
      <c r="G12" s="180"/>
      <c r="H12" s="180"/>
      <c r="I12" s="180"/>
      <c r="J12" s="180"/>
      <c r="K12" s="180"/>
      <c r="L12" s="180"/>
      <c r="M12" s="180"/>
    </row>
    <row r="13" spans="1:13" ht="28.8">
      <c r="A13" s="180"/>
      <c r="B13" s="171" t="s">
        <v>32</v>
      </c>
      <c r="C13" s="172" t="s">
        <v>41</v>
      </c>
      <c r="D13" s="173">
        <f>Industrie!D46</f>
        <v>0.22699818205480371</v>
      </c>
      <c r="E13" s="181"/>
      <c r="F13" s="180"/>
      <c r="G13" s="180"/>
      <c r="H13" s="180"/>
      <c r="I13" s="180"/>
      <c r="J13" s="180"/>
      <c r="K13" s="180"/>
      <c r="L13" s="180"/>
      <c r="M13" s="180"/>
    </row>
    <row r="14" spans="1:13">
      <c r="A14" s="180"/>
      <c r="B14" s="10" t="s">
        <v>32</v>
      </c>
      <c r="C14" s="10" t="s">
        <v>42</v>
      </c>
      <c r="D14" s="13">
        <f>Industrie!D50</f>
        <v>0.16625164897908595</v>
      </c>
      <c r="E14" s="291" t="s">
        <v>36</v>
      </c>
      <c r="F14" s="180"/>
      <c r="G14" s="180"/>
      <c r="H14" s="180"/>
      <c r="I14" s="180"/>
      <c r="J14" s="180"/>
      <c r="K14" s="180"/>
      <c r="L14" s="180"/>
      <c r="M14" s="180"/>
    </row>
    <row r="15" spans="1:13" ht="43.2">
      <c r="A15" s="180"/>
      <c r="B15" s="10" t="s">
        <v>26</v>
      </c>
      <c r="C15" s="8" t="s">
        <v>43</v>
      </c>
      <c r="D15" s="13">
        <f>Industrie!D54</f>
        <v>0.32019987210632006</v>
      </c>
      <c r="E15" s="181"/>
      <c r="F15" s="180"/>
      <c r="G15" s="180"/>
      <c r="H15" s="180"/>
      <c r="I15" s="180"/>
      <c r="J15" s="180"/>
      <c r="K15" s="180"/>
      <c r="L15" s="180"/>
      <c r="M15" s="180"/>
    </row>
    <row r="16" spans="1:13" ht="28.8">
      <c r="A16" s="180"/>
      <c r="B16" s="10" t="s">
        <v>26</v>
      </c>
      <c r="C16" s="10" t="s">
        <v>44</v>
      </c>
      <c r="D16" s="13">
        <f>Industrie!D58</f>
        <v>0.13739295075356006</v>
      </c>
      <c r="E16" s="291" t="s">
        <v>36</v>
      </c>
      <c r="F16" s="180"/>
      <c r="G16" s="180"/>
      <c r="H16" s="180"/>
      <c r="I16" s="180"/>
      <c r="J16" s="180"/>
      <c r="K16" s="180"/>
      <c r="L16" s="180"/>
      <c r="M16" s="180"/>
    </row>
    <row r="17" spans="1:13">
      <c r="A17" s="180"/>
      <c r="B17" s="10" t="s">
        <v>45</v>
      </c>
      <c r="C17" s="8" t="s">
        <v>46</v>
      </c>
      <c r="D17" s="13">
        <f>Industrie!D66</f>
        <v>0.30130923392044318</v>
      </c>
      <c r="E17" s="291" t="s">
        <v>36</v>
      </c>
      <c r="F17" s="180"/>
      <c r="G17" s="180"/>
      <c r="H17" s="180"/>
      <c r="I17" s="180"/>
      <c r="J17" s="180"/>
      <c r="K17" s="180"/>
      <c r="L17" s="180"/>
      <c r="M17" s="180"/>
    </row>
    <row r="18" spans="1:13" ht="28.8">
      <c r="A18" s="180"/>
      <c r="B18" s="10" t="s">
        <v>22</v>
      </c>
      <c r="C18" s="8" t="s">
        <v>47</v>
      </c>
      <c r="D18" s="13">
        <f>Industrie!D70</f>
        <v>0.51470586115675099</v>
      </c>
      <c r="E18" s="181"/>
      <c r="F18" s="180"/>
      <c r="G18" s="180"/>
      <c r="H18" s="180"/>
      <c r="I18" s="180"/>
      <c r="J18" s="180"/>
      <c r="K18" s="180"/>
      <c r="L18" s="180"/>
      <c r="M18" s="180"/>
    </row>
    <row r="19" spans="1:13" ht="28.8">
      <c r="A19" s="180"/>
      <c r="B19" s="10" t="s">
        <v>48</v>
      </c>
      <c r="C19" s="8" t="s">
        <v>49</v>
      </c>
      <c r="D19" s="9">
        <f>Bâtiment!D44</f>
        <v>0.58366114603296571</v>
      </c>
      <c r="E19" s="181"/>
      <c r="F19" s="180"/>
      <c r="G19" s="180"/>
      <c r="H19" s="180"/>
      <c r="I19" s="180"/>
      <c r="J19" s="180"/>
      <c r="K19" s="180"/>
      <c r="L19" s="180"/>
      <c r="M19" s="180"/>
    </row>
    <row r="20" spans="1:13" ht="28.8">
      <c r="A20" s="180"/>
      <c r="B20" s="10" t="s">
        <v>50</v>
      </c>
      <c r="C20" s="8" t="s">
        <v>49</v>
      </c>
      <c r="D20" s="9">
        <f>Bâtiment!D44</f>
        <v>0.58366114603296571</v>
      </c>
      <c r="E20" s="181"/>
      <c r="F20" s="180"/>
      <c r="G20" s="180"/>
      <c r="H20" s="180"/>
      <c r="I20" s="180"/>
      <c r="J20" s="180"/>
      <c r="K20" s="180"/>
      <c r="L20" s="180"/>
      <c r="M20" s="180"/>
    </row>
    <row r="21" spans="1:13" ht="28.8">
      <c r="A21" s="180"/>
      <c r="B21" s="10" t="s">
        <v>50</v>
      </c>
      <c r="C21" s="8" t="s">
        <v>51</v>
      </c>
      <c r="D21" s="9">
        <f>Bâtiment!D20</f>
        <v>0.51784690785677023</v>
      </c>
      <c r="E21" s="181"/>
      <c r="F21" s="180"/>
      <c r="G21" s="180"/>
      <c r="H21" s="180"/>
      <c r="I21" s="180"/>
      <c r="J21" s="180"/>
      <c r="K21" s="180"/>
      <c r="L21" s="180"/>
      <c r="M21" s="180"/>
    </row>
    <row r="22" spans="1:13">
      <c r="A22" s="180"/>
      <c r="B22" s="10" t="s">
        <v>50</v>
      </c>
      <c r="C22" s="8" t="s">
        <v>52</v>
      </c>
      <c r="D22" s="14">
        <f>Bâtiment!D71</f>
        <v>0.26046739254337958</v>
      </c>
      <c r="E22" s="181"/>
      <c r="F22" s="180"/>
      <c r="G22" s="180"/>
      <c r="H22" s="180"/>
      <c r="I22" s="180"/>
      <c r="J22" s="180"/>
      <c r="K22" s="180"/>
      <c r="L22" s="180"/>
      <c r="M22" s="180"/>
    </row>
    <row r="23" spans="1:13" ht="43.2">
      <c r="A23" s="180"/>
      <c r="B23" s="10" t="s">
        <v>50</v>
      </c>
      <c r="C23" s="10" t="s">
        <v>53</v>
      </c>
      <c r="D23" s="9">
        <f>Bâtiment!D12</f>
        <v>0.52698381185213228</v>
      </c>
      <c r="E23" s="181"/>
      <c r="F23" s="180"/>
      <c r="G23" s="180"/>
      <c r="H23" s="180"/>
      <c r="I23" s="180"/>
      <c r="J23" s="180"/>
      <c r="K23" s="180"/>
      <c r="L23" s="180"/>
      <c r="M23" s="180"/>
    </row>
    <row r="24" spans="1:13">
      <c r="A24" s="180"/>
      <c r="B24" s="10" t="s">
        <v>54</v>
      </c>
      <c r="C24" s="10" t="s">
        <v>55</v>
      </c>
      <c r="D24" s="9">
        <f>Transport!D10</f>
        <v>0.32739116158050918</v>
      </c>
      <c r="E24" s="181"/>
      <c r="F24" s="180"/>
      <c r="G24" s="180"/>
      <c r="H24" s="180"/>
      <c r="I24" s="180"/>
      <c r="J24" s="180"/>
      <c r="K24" s="180"/>
      <c r="L24" s="180"/>
      <c r="M24" s="180"/>
    </row>
    <row r="25" spans="1:13" ht="28.8">
      <c r="A25" s="180"/>
      <c r="B25" s="10" t="s">
        <v>54</v>
      </c>
      <c r="C25" s="8" t="s">
        <v>56</v>
      </c>
      <c r="D25" s="9">
        <f>Transport!D16</f>
        <v>0.39189754092295448</v>
      </c>
      <c r="E25" s="181"/>
      <c r="F25" s="180"/>
      <c r="G25" s="180"/>
      <c r="H25" s="180"/>
      <c r="I25" s="180"/>
      <c r="J25" s="180"/>
      <c r="K25" s="180"/>
      <c r="L25" s="180"/>
      <c r="M25" s="180"/>
    </row>
    <row r="26" spans="1:13">
      <c r="A26" s="180"/>
      <c r="B26" s="10" t="s">
        <v>54</v>
      </c>
      <c r="C26" s="8" t="s">
        <v>57</v>
      </c>
      <c r="D26" s="9">
        <f>Transport!D20</f>
        <v>0.4176128808784465</v>
      </c>
      <c r="E26" s="181"/>
      <c r="F26" s="180"/>
      <c r="G26" s="180"/>
      <c r="H26" s="180"/>
      <c r="I26" s="180"/>
      <c r="J26" s="180"/>
      <c r="K26" s="180"/>
      <c r="L26" s="180"/>
      <c r="M26" s="180"/>
    </row>
    <row r="27" spans="1:13">
      <c r="A27" s="180"/>
      <c r="B27" s="10" t="s">
        <v>54</v>
      </c>
      <c r="C27" s="8" t="s">
        <v>58</v>
      </c>
      <c r="D27" s="12">
        <f>Transport!D24</f>
        <v>0.24648226191017664</v>
      </c>
      <c r="E27" s="181"/>
      <c r="F27" s="180"/>
      <c r="G27" s="180"/>
      <c r="H27" s="180"/>
      <c r="I27" s="180"/>
      <c r="J27" s="180"/>
      <c r="K27" s="180"/>
      <c r="L27" s="180"/>
      <c r="M27" s="180"/>
    </row>
    <row r="28" spans="1:13">
      <c r="A28" s="180"/>
      <c r="B28" s="10" t="s">
        <v>54</v>
      </c>
      <c r="C28" s="8" t="s">
        <v>59</v>
      </c>
      <c r="D28" s="13">
        <f>Transport!D28</f>
        <v>0.36804758685349437</v>
      </c>
      <c r="E28" s="181"/>
      <c r="F28" s="180"/>
      <c r="G28" s="180"/>
      <c r="H28" s="180"/>
      <c r="I28" s="180"/>
      <c r="J28" s="180"/>
      <c r="K28" s="180"/>
      <c r="L28" s="180"/>
      <c r="M28" s="180"/>
    </row>
    <row r="29" spans="1:13">
      <c r="A29" s="180"/>
      <c r="B29" s="10" t="s">
        <v>60</v>
      </c>
      <c r="C29" s="8" t="s">
        <v>60</v>
      </c>
      <c r="D29" s="13">
        <f>Transport!D63</f>
        <v>0.30993973854814783</v>
      </c>
      <c r="E29" s="181"/>
      <c r="F29" s="180"/>
      <c r="G29" s="180"/>
      <c r="H29" s="180"/>
      <c r="I29" s="180"/>
      <c r="J29" s="180"/>
      <c r="K29" s="180"/>
      <c r="L29" s="180"/>
      <c r="M29" s="180"/>
    </row>
    <row r="30" spans="1:13">
      <c r="A30" s="180"/>
      <c r="B30" s="10" t="s">
        <v>61</v>
      </c>
      <c r="C30" s="8" t="s">
        <v>61</v>
      </c>
      <c r="D30" s="13">
        <f>Transport!D36</f>
        <v>2.7994423488030384E-2</v>
      </c>
      <c r="E30" s="181"/>
      <c r="F30" s="180"/>
      <c r="G30" s="180"/>
      <c r="H30" s="180"/>
      <c r="I30" s="180"/>
      <c r="J30" s="180"/>
      <c r="K30" s="180"/>
      <c r="L30" s="180"/>
      <c r="M30" s="180"/>
    </row>
    <row r="31" spans="1:13" ht="28.8">
      <c r="A31" s="180"/>
      <c r="B31" s="10" t="s">
        <v>62</v>
      </c>
      <c r="C31" s="8" t="s">
        <v>63</v>
      </c>
      <c r="D31" s="9">
        <f>Transport!D51</f>
        <v>0.22841315091602599</v>
      </c>
      <c r="E31" s="181"/>
      <c r="F31" s="180"/>
      <c r="G31" s="180"/>
      <c r="H31" s="180"/>
      <c r="I31" s="180"/>
      <c r="J31" s="180"/>
      <c r="K31" s="180"/>
      <c r="L31" s="180"/>
      <c r="M31" s="180"/>
    </row>
    <row r="32" spans="1:13" ht="28.8">
      <c r="A32" s="180"/>
      <c r="B32" s="10" t="s">
        <v>62</v>
      </c>
      <c r="C32" s="8" t="s">
        <v>64</v>
      </c>
      <c r="D32" s="9">
        <f>Transport!D55</f>
        <v>0.32833912169802348</v>
      </c>
      <c r="E32" s="181"/>
      <c r="F32" s="180"/>
      <c r="G32" s="180"/>
      <c r="H32" s="180"/>
      <c r="I32" s="180"/>
      <c r="J32" s="180"/>
      <c r="K32" s="180"/>
      <c r="L32" s="180"/>
      <c r="M32" s="180"/>
    </row>
    <row r="33" spans="1:18" ht="28.8">
      <c r="A33" s="180"/>
      <c r="B33" s="10" t="s">
        <v>62</v>
      </c>
      <c r="C33" s="8" t="s">
        <v>65</v>
      </c>
      <c r="D33" s="12">
        <f>Transport!D59</f>
        <v>8.6214219472463216E-2</v>
      </c>
      <c r="E33" s="181"/>
      <c r="F33" s="180"/>
      <c r="G33" s="180"/>
      <c r="H33" s="180"/>
      <c r="I33" s="180"/>
      <c r="J33" s="180"/>
      <c r="K33" s="180"/>
      <c r="L33" s="180"/>
      <c r="M33" s="180"/>
    </row>
    <row r="34" spans="1:18">
      <c r="A34" s="180"/>
      <c r="B34" s="10" t="s">
        <v>66</v>
      </c>
      <c r="C34" s="8" t="s">
        <v>66</v>
      </c>
      <c r="D34" s="13">
        <f>Transport!D67</f>
        <v>0.18834561394405824</v>
      </c>
      <c r="E34" s="181"/>
      <c r="F34" s="180"/>
      <c r="G34" s="180"/>
      <c r="H34" s="180"/>
      <c r="I34" s="180"/>
      <c r="J34" s="180"/>
      <c r="K34" s="180"/>
      <c r="L34" s="180"/>
      <c r="M34" s="180"/>
    </row>
    <row r="35" spans="1:18" ht="28.8">
      <c r="A35" s="180"/>
      <c r="B35" s="163" t="s">
        <v>62</v>
      </c>
      <c r="C35" s="8" t="s">
        <v>61</v>
      </c>
      <c r="D35" s="13">
        <f>Transport!D36</f>
        <v>2.7994423488030384E-2</v>
      </c>
      <c r="E35" s="181"/>
      <c r="F35" s="180"/>
      <c r="G35" s="180"/>
      <c r="H35" s="180"/>
      <c r="I35" s="180"/>
      <c r="J35" s="180"/>
      <c r="K35" s="180"/>
      <c r="L35" s="180"/>
      <c r="M35" s="180"/>
    </row>
    <row r="36" spans="1:18" ht="28.8">
      <c r="A36" s="180"/>
      <c r="B36" s="163" t="s">
        <v>62</v>
      </c>
      <c r="C36" s="8" t="s">
        <v>66</v>
      </c>
      <c r="D36" s="13">
        <f>Transport!D67</f>
        <v>0.18834561394405824</v>
      </c>
      <c r="E36" s="181"/>
      <c r="F36" s="180"/>
      <c r="G36" s="180"/>
      <c r="H36" s="180"/>
      <c r="I36" s="180"/>
      <c r="J36" s="180"/>
      <c r="K36" s="180"/>
      <c r="L36" s="180"/>
      <c r="M36" s="180"/>
    </row>
    <row r="37" spans="1:18" ht="30" customHeight="1">
      <c r="A37" s="180"/>
      <c r="B37" s="10" t="s">
        <v>67</v>
      </c>
      <c r="C37" s="163" t="s">
        <v>68</v>
      </c>
      <c r="D37" s="9">
        <f>Agriculture!D10</f>
        <v>0.15378082929961623</v>
      </c>
      <c r="E37" s="181"/>
      <c r="F37" s="180"/>
      <c r="G37" s="180"/>
      <c r="H37" s="180"/>
      <c r="I37" s="180"/>
      <c r="J37" s="180"/>
      <c r="K37" s="180"/>
      <c r="L37" s="180"/>
      <c r="M37" s="180"/>
    </row>
    <row r="38" spans="1:18" ht="15" customHeight="1">
      <c r="A38" s="180"/>
      <c r="B38" s="10" t="s">
        <v>67</v>
      </c>
      <c r="C38" s="164" t="s">
        <v>69</v>
      </c>
      <c r="D38" s="9">
        <f>Agriculture!D39</f>
        <v>0.17485049474662517</v>
      </c>
      <c r="E38" s="181"/>
      <c r="F38" s="180"/>
      <c r="G38" s="180"/>
      <c r="H38" s="180"/>
      <c r="I38" s="180"/>
      <c r="J38" s="180"/>
      <c r="K38" s="180"/>
      <c r="L38" s="180"/>
      <c r="M38" s="180"/>
    </row>
    <row r="39" spans="1:18">
      <c r="A39" s="180"/>
      <c r="B39" s="10" t="s">
        <v>67</v>
      </c>
      <c r="C39" s="164" t="s">
        <v>70</v>
      </c>
      <c r="D39" s="174">
        <f>Agriculture!D43</f>
        <v>0.27306987586042264</v>
      </c>
      <c r="E39" s="292" t="s">
        <v>71</v>
      </c>
      <c r="F39" s="180"/>
      <c r="G39" s="180"/>
      <c r="H39" s="180"/>
      <c r="I39" s="180"/>
      <c r="J39" s="180"/>
      <c r="K39" s="180"/>
      <c r="L39" s="180"/>
      <c r="M39" s="180"/>
    </row>
    <row r="40" spans="1:18" ht="28.8">
      <c r="A40" s="180"/>
      <c r="B40" s="10" t="s">
        <v>67</v>
      </c>
      <c r="C40" s="164" t="s">
        <v>72</v>
      </c>
      <c r="D40" s="175">
        <f>Agriculture!D47</f>
        <v>6.4950091917966191E-2</v>
      </c>
      <c r="E40" s="292" t="s">
        <v>71</v>
      </c>
      <c r="F40" s="180"/>
      <c r="G40" s="180"/>
      <c r="H40" s="180"/>
      <c r="I40" s="180"/>
      <c r="J40" s="180"/>
      <c r="K40" s="180"/>
      <c r="L40" s="180"/>
      <c r="M40" s="180"/>
    </row>
    <row r="41" spans="1:18" ht="42.6" customHeight="1">
      <c r="A41" s="180"/>
      <c r="B41" s="10" t="s">
        <v>67</v>
      </c>
      <c r="C41" s="164" t="s">
        <v>73</v>
      </c>
      <c r="D41" s="174">
        <f>Agriculture!D53</f>
        <v>4.7980351530054421E-2</v>
      </c>
      <c r="E41" s="292" t="s">
        <v>74</v>
      </c>
      <c r="F41" s="180"/>
      <c r="G41" s="180"/>
      <c r="H41" s="180"/>
      <c r="I41" s="180"/>
      <c r="J41" s="180"/>
      <c r="K41" s="180"/>
      <c r="L41" s="180"/>
      <c r="M41" s="180"/>
      <c r="N41" s="180"/>
      <c r="O41" s="180"/>
      <c r="P41" s="180"/>
      <c r="Q41" s="180"/>
      <c r="R41" s="180"/>
    </row>
    <row r="42" spans="1:18">
      <c r="A42" s="180"/>
      <c r="B42" s="10" t="s">
        <v>67</v>
      </c>
      <c r="C42" s="164" t="s">
        <v>75</v>
      </c>
      <c r="D42" s="174">
        <f>Agriculture!D17</f>
        <v>0.1658751030255341</v>
      </c>
      <c r="E42" s="292"/>
      <c r="F42" s="180"/>
      <c r="G42" s="180"/>
      <c r="H42" s="180"/>
      <c r="I42" s="180"/>
      <c r="J42" s="180"/>
      <c r="K42" s="180"/>
      <c r="L42" s="180"/>
      <c r="M42" s="180"/>
      <c r="N42" s="180"/>
      <c r="O42" s="180"/>
      <c r="P42" s="180"/>
      <c r="Q42" s="180"/>
      <c r="R42" s="180"/>
    </row>
    <row r="43" spans="1:18">
      <c r="A43" s="180"/>
      <c r="B43" s="10" t="s">
        <v>67</v>
      </c>
      <c r="C43" s="164" t="s">
        <v>76</v>
      </c>
      <c r="D43" s="174">
        <f>Agriculture!D21</f>
        <v>0.16565672178982249</v>
      </c>
      <c r="E43" s="292" t="s">
        <v>77</v>
      </c>
      <c r="F43" s="180"/>
      <c r="G43" s="180"/>
      <c r="H43" s="180"/>
      <c r="I43" s="180"/>
      <c r="J43" s="180"/>
      <c r="K43" s="180"/>
      <c r="L43" s="180"/>
      <c r="M43" s="180"/>
      <c r="N43" s="180"/>
      <c r="O43" s="180"/>
      <c r="P43" s="180"/>
      <c r="Q43" s="180"/>
      <c r="R43" s="180"/>
    </row>
    <row r="44" spans="1:18">
      <c r="A44" s="180"/>
      <c r="B44" s="10" t="s">
        <v>67</v>
      </c>
      <c r="C44" s="164" t="s">
        <v>78</v>
      </c>
      <c r="D44" s="176">
        <f>Agriculture!D25</f>
        <v>0.26829138204445691</v>
      </c>
      <c r="E44" s="292" t="s">
        <v>77</v>
      </c>
      <c r="F44" s="180"/>
      <c r="G44" s="180"/>
      <c r="H44" s="180"/>
      <c r="I44" s="180"/>
      <c r="J44" s="180"/>
      <c r="K44" s="180"/>
      <c r="L44" s="180"/>
      <c r="M44" s="180"/>
      <c r="N44" s="180"/>
      <c r="O44" s="180"/>
      <c r="P44" s="180"/>
      <c r="Q44" s="180"/>
      <c r="R44" s="180"/>
    </row>
    <row r="45" spans="1:18">
      <c r="A45" s="180"/>
      <c r="B45" s="10" t="s">
        <v>67</v>
      </c>
      <c r="C45" s="164" t="s">
        <v>79</v>
      </c>
      <c r="D45" s="175">
        <f>Agriculture!D29</f>
        <v>0.22908211825282621</v>
      </c>
      <c r="E45" s="292" t="s">
        <v>77</v>
      </c>
      <c r="F45" s="180"/>
      <c r="G45" s="180"/>
      <c r="H45" s="180"/>
      <c r="I45" s="180"/>
      <c r="J45" s="180"/>
      <c r="K45" s="180"/>
      <c r="L45" s="180"/>
      <c r="M45" s="180"/>
      <c r="N45" s="180"/>
      <c r="O45" s="180"/>
      <c r="P45" s="180"/>
      <c r="Q45" s="180"/>
      <c r="R45" s="180"/>
    </row>
    <row r="46" spans="1:18" ht="28.8">
      <c r="A46" s="180"/>
      <c r="B46" s="10" t="s">
        <v>67</v>
      </c>
      <c r="C46" s="164" t="s">
        <v>80</v>
      </c>
      <c r="D46" s="175">
        <f>Agriculture!D33</f>
        <v>0.10368130542365839</v>
      </c>
      <c r="E46" s="292" t="s">
        <v>77</v>
      </c>
      <c r="F46" s="180"/>
      <c r="G46" s="180"/>
      <c r="H46" s="180"/>
      <c r="I46" s="180"/>
      <c r="J46" s="180"/>
      <c r="K46" s="180"/>
      <c r="L46" s="180"/>
      <c r="M46" s="180"/>
      <c r="N46" s="180"/>
      <c r="O46" s="180"/>
      <c r="P46" s="180"/>
      <c r="Q46" s="180"/>
      <c r="R46" s="180"/>
    </row>
    <row r="47" spans="1:18">
      <c r="A47" s="180"/>
      <c r="B47" s="10" t="s">
        <v>81</v>
      </c>
      <c r="C47" s="10" t="s">
        <v>82</v>
      </c>
      <c r="D47" s="9">
        <f>Déchets!D10</f>
        <v>0.55010232857349328</v>
      </c>
      <c r="E47" s="181"/>
      <c r="F47" s="180"/>
      <c r="G47" s="180"/>
      <c r="H47" s="180"/>
      <c r="I47" s="180"/>
      <c r="J47" s="180"/>
      <c r="K47" s="180"/>
      <c r="L47" s="180"/>
      <c r="M47" s="180"/>
      <c r="N47" s="180"/>
      <c r="O47" s="180"/>
      <c r="P47" s="180"/>
      <c r="Q47" s="180"/>
      <c r="R47" s="180"/>
    </row>
    <row r="48" spans="1:18" ht="19.95" customHeight="1">
      <c r="A48" s="180"/>
      <c r="B48" s="10" t="s">
        <v>81</v>
      </c>
      <c r="C48" s="8" t="s">
        <v>83</v>
      </c>
      <c r="D48" s="9">
        <f>Déchets!D14</f>
        <v>0.68867374665974523</v>
      </c>
      <c r="E48" s="181"/>
      <c r="F48" s="180"/>
      <c r="G48" s="180"/>
      <c r="H48" s="180"/>
      <c r="I48" s="180"/>
      <c r="J48" s="180"/>
      <c r="K48" s="180"/>
      <c r="L48" s="180"/>
      <c r="M48" s="180"/>
      <c r="N48" s="180"/>
      <c r="O48" s="180"/>
      <c r="P48" s="180"/>
      <c r="Q48" s="180"/>
      <c r="R48" s="180"/>
    </row>
    <row r="49" spans="1:18" ht="28.8">
      <c r="A49" s="180"/>
      <c r="B49" s="10" t="s">
        <v>81</v>
      </c>
      <c r="C49" s="8" t="s">
        <v>84</v>
      </c>
      <c r="D49" s="12">
        <f>Déchets!D18</f>
        <v>-9.9116350447240542E-2</v>
      </c>
      <c r="E49" s="181"/>
      <c r="F49" s="180"/>
      <c r="G49" s="180"/>
      <c r="H49" s="180"/>
      <c r="I49" s="180"/>
      <c r="J49" s="180"/>
      <c r="K49" s="180"/>
      <c r="L49" s="180"/>
      <c r="M49" s="180"/>
      <c r="N49" s="180"/>
      <c r="O49" s="180"/>
      <c r="P49" s="180"/>
      <c r="Q49" s="180"/>
      <c r="R49" s="180"/>
    </row>
    <row r="50" spans="1:18" ht="21.6" customHeight="1">
      <c r="A50" s="180"/>
      <c r="B50" s="10" t="s">
        <v>81</v>
      </c>
      <c r="C50" s="8" t="s">
        <v>85</v>
      </c>
      <c r="D50" s="13">
        <f>Déchets!D22</f>
        <v>-5.9685131408808711E-2</v>
      </c>
      <c r="E50" s="181"/>
      <c r="F50" s="180"/>
      <c r="G50" s="180"/>
      <c r="H50" s="180"/>
      <c r="I50" s="180"/>
      <c r="J50" s="180"/>
      <c r="K50" s="180"/>
      <c r="L50" s="180"/>
      <c r="M50" s="180"/>
      <c r="N50" s="180"/>
      <c r="O50" s="180"/>
      <c r="P50" s="180"/>
      <c r="Q50" s="180"/>
      <c r="R50" s="180"/>
    </row>
    <row r="51" spans="1:18" ht="28.8">
      <c r="A51" s="180"/>
      <c r="B51" s="10" t="s">
        <v>81</v>
      </c>
      <c r="C51" s="8" t="s">
        <v>86</v>
      </c>
      <c r="D51" s="13">
        <f>Déchets!D26</f>
        <v>4.1635212849805425E-3</v>
      </c>
      <c r="E51" s="181"/>
      <c r="F51" s="180"/>
      <c r="G51" s="180"/>
      <c r="H51" s="180"/>
      <c r="I51" s="180"/>
      <c r="J51" s="180"/>
      <c r="K51" s="180"/>
      <c r="L51" s="180"/>
      <c r="M51" s="180"/>
      <c r="N51" s="180"/>
      <c r="O51" s="180"/>
      <c r="P51" s="180"/>
      <c r="Q51" s="180"/>
      <c r="R51" s="180"/>
    </row>
    <row r="52" spans="1:18" ht="28.8">
      <c r="A52" s="180"/>
      <c r="B52" s="10" t="s">
        <v>87</v>
      </c>
      <c r="C52" s="10" t="s">
        <v>88</v>
      </c>
      <c r="D52" s="9">
        <f>Energie!D10</f>
        <v>0.40721586087351214</v>
      </c>
      <c r="E52" s="181"/>
      <c r="F52" s="180"/>
      <c r="G52" s="180"/>
      <c r="H52" s="180"/>
      <c r="I52" s="180"/>
      <c r="J52" s="180"/>
      <c r="K52" s="180"/>
      <c r="L52" s="180"/>
      <c r="M52" s="180"/>
      <c r="N52" s="180"/>
      <c r="O52" s="180"/>
      <c r="P52" s="180"/>
      <c r="Q52" s="180"/>
      <c r="R52" s="180"/>
    </row>
    <row r="53" spans="1:18" ht="28.8">
      <c r="A53" s="180"/>
      <c r="B53" s="10" t="s">
        <v>89</v>
      </c>
      <c r="C53" s="8" t="s">
        <v>90</v>
      </c>
      <c r="D53" s="9">
        <f>Energie!D14</f>
        <v>0.6015937401171787</v>
      </c>
      <c r="E53" s="181"/>
      <c r="F53" s="180"/>
      <c r="G53" s="180"/>
      <c r="H53" s="180"/>
      <c r="I53" s="180"/>
      <c r="J53" s="180"/>
      <c r="K53" s="180"/>
      <c r="L53" s="180"/>
      <c r="M53" s="180"/>
      <c r="N53" s="180"/>
      <c r="O53" s="180"/>
      <c r="P53" s="180"/>
      <c r="Q53" s="180"/>
      <c r="R53" s="180"/>
    </row>
    <row r="54" spans="1:18" ht="43.2">
      <c r="A54" s="180"/>
      <c r="B54" s="10" t="s">
        <v>91</v>
      </c>
      <c r="C54" s="8" t="s">
        <v>92</v>
      </c>
      <c r="D54" s="12">
        <f>Energie!D18</f>
        <v>0.23619124564005778</v>
      </c>
      <c r="E54" s="181"/>
      <c r="F54" s="180"/>
      <c r="G54" s="180"/>
      <c r="H54" s="180"/>
      <c r="I54" s="180"/>
      <c r="J54" s="180"/>
      <c r="K54" s="180"/>
      <c r="L54" s="180"/>
      <c r="M54" s="180"/>
      <c r="N54" s="180"/>
      <c r="O54" s="180"/>
      <c r="P54" s="180"/>
      <c r="Q54" s="180"/>
      <c r="R54" s="180"/>
    </row>
    <row r="55" spans="1:18" ht="28.8">
      <c r="A55" s="180"/>
      <c r="B55" s="10" t="s">
        <v>93</v>
      </c>
      <c r="C55" s="8" t="s">
        <v>94</v>
      </c>
      <c r="D55" s="13">
        <f>Energie!D22</f>
        <v>0.27923528491408456</v>
      </c>
      <c r="E55" s="181"/>
      <c r="F55" s="180"/>
      <c r="G55" s="180"/>
      <c r="H55" s="180"/>
      <c r="I55" s="180"/>
      <c r="J55" s="180"/>
      <c r="K55" s="180"/>
      <c r="L55" s="180"/>
      <c r="M55" s="180"/>
      <c r="N55" s="180"/>
      <c r="O55" s="180"/>
      <c r="P55" s="180"/>
      <c r="Q55" s="180"/>
      <c r="R55" s="180"/>
    </row>
    <row r="56" spans="1:18" ht="43.2">
      <c r="A56" s="180"/>
      <c r="B56" s="163" t="s">
        <v>95</v>
      </c>
      <c r="C56" s="164" t="s">
        <v>96</v>
      </c>
      <c r="D56" s="165">
        <f>Energie!D26</f>
        <v>0.58558138849543573</v>
      </c>
      <c r="E56" s="292" t="s">
        <v>97</v>
      </c>
      <c r="F56" s="180"/>
      <c r="G56" s="180"/>
      <c r="H56" s="180"/>
      <c r="I56" s="180"/>
      <c r="J56" s="180"/>
      <c r="K56" s="180"/>
      <c r="L56" s="180"/>
      <c r="M56" s="180"/>
      <c r="N56" s="180"/>
      <c r="O56" s="180"/>
      <c r="P56" s="180"/>
      <c r="Q56" s="180"/>
      <c r="R56" s="180"/>
    </row>
    <row r="57" spans="1:18" ht="28.8">
      <c r="A57" s="180"/>
      <c r="B57" s="10" t="s">
        <v>98</v>
      </c>
      <c r="C57" s="8" t="s">
        <v>99</v>
      </c>
      <c r="D57" s="13">
        <f>Energie!D46</f>
        <v>0.20565096185759602</v>
      </c>
      <c r="E57" s="181"/>
      <c r="F57" s="180"/>
      <c r="G57" s="180"/>
      <c r="H57" s="180"/>
      <c r="I57" s="180"/>
      <c r="J57" s="180"/>
      <c r="K57" s="180"/>
      <c r="L57" s="180"/>
      <c r="M57" s="180"/>
      <c r="N57" s="180"/>
      <c r="O57" s="180"/>
      <c r="P57" s="180"/>
      <c r="Q57" s="180"/>
      <c r="R57" s="180"/>
    </row>
    <row r="58" spans="1:18" ht="57.6">
      <c r="A58" s="180"/>
      <c r="B58" s="10" t="s">
        <v>100</v>
      </c>
      <c r="C58" s="8" t="s">
        <v>101</v>
      </c>
      <c r="D58" s="170">
        <f>UTCATF!D10</f>
        <v>5.9037635151797385E-3</v>
      </c>
      <c r="E58" s="181"/>
      <c r="F58" s="180"/>
      <c r="G58" s="180"/>
      <c r="H58" s="180"/>
      <c r="I58" s="180"/>
      <c r="J58" s="180"/>
      <c r="K58" s="180"/>
      <c r="L58" s="180"/>
      <c r="M58" s="180"/>
      <c r="N58" s="180"/>
      <c r="O58" s="180"/>
      <c r="P58" s="180"/>
      <c r="Q58" s="180"/>
      <c r="R58" s="180"/>
    </row>
    <row r="59" spans="1:18" ht="28.8">
      <c r="A59" s="180"/>
      <c r="B59" s="10" t="s">
        <v>100</v>
      </c>
      <c r="C59" s="10" t="s">
        <v>102</v>
      </c>
      <c r="D59" s="170">
        <f>UTCATF!D14</f>
        <v>0.45470866479000926</v>
      </c>
      <c r="E59" s="181"/>
      <c r="F59" s="180"/>
      <c r="G59" s="180"/>
      <c r="H59" s="180"/>
      <c r="I59" s="180"/>
      <c r="J59" s="180"/>
      <c r="K59" s="180"/>
      <c r="L59" s="180"/>
      <c r="M59" s="180"/>
      <c r="N59" s="180"/>
      <c r="O59" s="180"/>
      <c r="P59" s="180"/>
      <c r="Q59" s="180"/>
      <c r="R59" s="180"/>
    </row>
    <row r="60" spans="1:18" ht="28.8">
      <c r="A60" s="180"/>
      <c r="B60" s="10" t="s">
        <v>100</v>
      </c>
      <c r="C60" s="10" t="s">
        <v>103</v>
      </c>
      <c r="D60" s="170">
        <f>UTCATF!D18</f>
        <v>0.61301158423884017</v>
      </c>
      <c r="E60" s="181"/>
      <c r="F60" s="180"/>
      <c r="G60" s="180"/>
      <c r="H60" s="180"/>
      <c r="I60" s="180"/>
      <c r="J60" s="180"/>
      <c r="K60" s="180"/>
      <c r="L60" s="180"/>
      <c r="M60" s="180"/>
      <c r="N60" s="180"/>
      <c r="O60" s="180"/>
      <c r="P60" s="180"/>
      <c r="Q60" s="180"/>
      <c r="R60" s="180"/>
    </row>
    <row r="61" spans="1:18" ht="28.8">
      <c r="A61" s="180"/>
      <c r="B61" s="10" t="s">
        <v>100</v>
      </c>
      <c r="C61" s="10" t="s">
        <v>104</v>
      </c>
      <c r="D61" s="170">
        <f>UTCATF!D22</f>
        <v>0.10060342879066786</v>
      </c>
      <c r="E61" s="181"/>
      <c r="F61" s="180"/>
      <c r="G61" s="180"/>
      <c r="H61" s="180"/>
      <c r="I61" s="180"/>
      <c r="J61" s="180"/>
      <c r="K61" s="180"/>
      <c r="L61" s="180"/>
      <c r="M61" s="180"/>
      <c r="N61" s="180"/>
      <c r="O61" s="180"/>
      <c r="P61" s="180"/>
      <c r="Q61" s="180"/>
      <c r="R61" s="180"/>
    </row>
    <row r="62" spans="1:18" ht="28.8">
      <c r="A62" s="180"/>
      <c r="B62" s="10" t="s">
        <v>100</v>
      </c>
      <c r="C62" s="10" t="s">
        <v>105</v>
      </c>
      <c r="D62" s="170">
        <f>UTCATF!D26</f>
        <v>0.26046739254337958</v>
      </c>
      <c r="E62" s="181"/>
      <c r="F62" s="180"/>
      <c r="G62" s="180"/>
      <c r="H62" s="180"/>
      <c r="I62" s="180"/>
      <c r="J62" s="180"/>
      <c r="K62" s="180"/>
      <c r="L62" s="180"/>
      <c r="M62" s="180"/>
      <c r="N62" s="180"/>
      <c r="O62" s="180"/>
      <c r="P62" s="180"/>
      <c r="Q62" s="180"/>
      <c r="R62" s="180"/>
    </row>
    <row r="63" spans="1:18" ht="29.4" customHeight="1">
      <c r="A63" s="180"/>
      <c r="B63" s="287" t="s">
        <v>106</v>
      </c>
      <c r="C63" s="288" t="s">
        <v>107</v>
      </c>
      <c r="D63" s="289">
        <f>VLOOKUP("TOTAL national hors UTCATF",'Résultats détaillés GES'!$A$6:$AP$20,MATCH('Choix années'!C5,'Résultats détaillés GES'!$A$6:$AP$6),FALSE)/VLOOKUP("TOTAL national hors UTCATF",'Résultats détaillés GES'!$A$6:$AP$20,MATCH('Choix années'!C4,'Résultats détaillés GES'!$A$6:$AP$6),FALSE)-1</f>
        <v>-0.37029835109967146</v>
      </c>
      <c r="E63" s="182"/>
      <c r="F63" s="180"/>
      <c r="G63" s="180"/>
      <c r="H63" s="180"/>
      <c r="I63" s="180"/>
      <c r="J63" s="180"/>
      <c r="K63" s="180"/>
      <c r="L63" s="180"/>
      <c r="M63" s="180"/>
      <c r="N63" s="180"/>
      <c r="O63" s="180"/>
      <c r="P63" s="180"/>
      <c r="Q63" s="180"/>
      <c r="R63" s="180"/>
    </row>
    <row r="64" spans="1:18">
      <c r="A64" s="180"/>
      <c r="B64" s="183"/>
      <c r="C64" s="184"/>
      <c r="D64" s="184"/>
      <c r="E64" s="181"/>
      <c r="F64" s="180"/>
      <c r="G64" s="180"/>
      <c r="H64" s="180"/>
      <c r="I64" s="180"/>
      <c r="J64" s="180"/>
      <c r="K64" s="180"/>
      <c r="L64" s="180"/>
      <c r="M64" s="180"/>
      <c r="N64" s="180"/>
      <c r="O64" s="180"/>
      <c r="P64" s="180"/>
      <c r="Q64" s="180"/>
      <c r="R64" s="180"/>
    </row>
    <row r="65" spans="1:18">
      <c r="A65" s="180"/>
      <c r="B65" s="183"/>
      <c r="C65" s="184"/>
      <c r="D65" s="184"/>
      <c r="E65" s="181"/>
      <c r="F65" s="180"/>
      <c r="G65" s="180"/>
      <c r="H65" s="180"/>
      <c r="I65" s="180"/>
      <c r="J65" s="180"/>
      <c r="K65" s="180"/>
      <c r="L65" s="180"/>
      <c r="M65" s="180"/>
      <c r="N65" s="180"/>
      <c r="O65" s="180"/>
      <c r="P65" s="180"/>
      <c r="Q65" s="180"/>
      <c r="R65" s="180"/>
    </row>
    <row r="66" spans="1:18">
      <c r="A66" s="180"/>
      <c r="B66" s="183"/>
      <c r="C66" s="184"/>
      <c r="D66" s="184"/>
      <c r="E66" s="181"/>
      <c r="F66" s="180"/>
      <c r="G66" s="180"/>
      <c r="H66" s="180"/>
      <c r="I66" s="180"/>
      <c r="J66" s="180"/>
      <c r="K66" s="180"/>
      <c r="L66" s="180"/>
      <c r="M66" s="180"/>
      <c r="N66" s="180"/>
      <c r="O66" s="180"/>
      <c r="P66" s="180"/>
      <c r="Q66" s="180"/>
      <c r="R66" s="180"/>
    </row>
    <row r="67" spans="1:18">
      <c r="A67" s="180"/>
      <c r="B67" s="183"/>
      <c r="C67" s="184"/>
      <c r="D67" s="184"/>
      <c r="E67" s="181"/>
      <c r="F67" s="180"/>
      <c r="G67" s="180"/>
      <c r="H67" s="180"/>
      <c r="I67" s="180"/>
      <c r="J67" s="180"/>
      <c r="K67" s="180"/>
      <c r="L67" s="180"/>
      <c r="M67" s="180"/>
      <c r="N67" s="180"/>
      <c r="O67" s="180"/>
      <c r="P67" s="180"/>
      <c r="Q67" s="180"/>
      <c r="R67" s="180"/>
    </row>
    <row r="68" spans="1:18">
      <c r="A68" s="180"/>
      <c r="B68" s="183"/>
      <c r="C68" s="184"/>
      <c r="D68" s="184"/>
      <c r="E68" s="181"/>
      <c r="F68" s="180"/>
      <c r="G68" s="180"/>
      <c r="H68" s="180"/>
      <c r="I68" s="180"/>
      <c r="J68" s="180"/>
      <c r="K68" s="180"/>
      <c r="L68" s="180"/>
      <c r="M68" s="180"/>
      <c r="N68" s="180"/>
      <c r="O68" s="180"/>
      <c r="P68" s="180"/>
      <c r="Q68" s="180"/>
      <c r="R68" s="180"/>
    </row>
    <row r="69" spans="1:18">
      <c r="A69" s="180"/>
      <c r="B69" s="183"/>
      <c r="C69" s="184"/>
      <c r="D69" s="184"/>
      <c r="E69" s="181"/>
      <c r="F69" s="180"/>
      <c r="G69" s="180"/>
      <c r="H69" s="180"/>
      <c r="I69" s="180"/>
      <c r="J69" s="180"/>
      <c r="K69" s="180"/>
      <c r="L69" s="180"/>
      <c r="M69" s="180"/>
      <c r="N69" s="180"/>
      <c r="O69" s="180"/>
      <c r="P69" s="180"/>
      <c r="Q69" s="180"/>
      <c r="R69" s="180"/>
    </row>
    <row r="70" spans="1:18">
      <c r="A70" s="180"/>
      <c r="B70" s="183"/>
      <c r="C70" s="184"/>
      <c r="D70" s="184"/>
      <c r="E70" s="181"/>
      <c r="F70" s="180"/>
      <c r="G70" s="180"/>
      <c r="H70" s="180"/>
      <c r="I70" s="180"/>
      <c r="J70" s="180"/>
      <c r="K70" s="180"/>
      <c r="L70" s="180"/>
      <c r="M70" s="180"/>
      <c r="N70" s="180"/>
      <c r="O70" s="180"/>
      <c r="P70" s="180"/>
      <c r="Q70" s="180"/>
      <c r="R70" s="180"/>
    </row>
    <row r="71" spans="1:18">
      <c r="A71" s="180"/>
      <c r="B71" s="183"/>
      <c r="C71" s="184"/>
      <c r="D71" s="184"/>
      <c r="E71" s="181"/>
      <c r="F71" s="180"/>
      <c r="G71" s="180"/>
      <c r="H71" s="180"/>
      <c r="I71" s="180"/>
      <c r="J71" s="180"/>
      <c r="K71" s="180"/>
      <c r="L71" s="180"/>
      <c r="M71" s="180"/>
      <c r="N71" s="180"/>
      <c r="O71" s="180"/>
      <c r="P71" s="180"/>
      <c r="Q71" s="180"/>
      <c r="R71" s="180"/>
    </row>
    <row r="72" spans="1:18">
      <c r="A72" s="180"/>
      <c r="B72" s="183"/>
      <c r="C72" s="184"/>
      <c r="D72" s="184"/>
      <c r="E72" s="181"/>
      <c r="F72" s="180"/>
      <c r="G72" s="180"/>
      <c r="H72" s="180"/>
      <c r="I72" s="180"/>
      <c r="J72" s="180"/>
      <c r="K72" s="180"/>
      <c r="L72" s="180"/>
      <c r="M72" s="180"/>
      <c r="N72" s="180"/>
      <c r="O72" s="180"/>
      <c r="P72" s="180"/>
      <c r="Q72" s="180"/>
      <c r="R72" s="180"/>
    </row>
    <row r="73" spans="1:18">
      <c r="A73" s="180"/>
      <c r="B73" s="183"/>
      <c r="C73" s="184"/>
      <c r="D73" s="184"/>
      <c r="E73" s="181"/>
      <c r="F73" s="180"/>
      <c r="G73" s="180"/>
      <c r="H73" s="180"/>
      <c r="I73" s="180"/>
      <c r="J73" s="180"/>
      <c r="K73" s="180"/>
      <c r="L73" s="180"/>
      <c r="M73" s="180"/>
      <c r="N73" s="180"/>
      <c r="O73" s="180"/>
      <c r="P73" s="180"/>
      <c r="Q73" s="180"/>
      <c r="R73" s="180"/>
    </row>
    <row r="74" spans="1:18">
      <c r="A74" s="180"/>
      <c r="B74" s="183"/>
      <c r="C74" s="184"/>
      <c r="D74" s="184"/>
      <c r="E74" s="181"/>
      <c r="F74" s="180"/>
      <c r="G74" s="180"/>
      <c r="H74" s="180"/>
      <c r="I74" s="180"/>
      <c r="J74" s="180"/>
      <c r="K74" s="180"/>
      <c r="L74" s="180"/>
      <c r="M74" s="180"/>
      <c r="N74" s="180"/>
      <c r="O74" s="180"/>
      <c r="P74" s="180"/>
      <c r="Q74" s="180"/>
      <c r="R74" s="180"/>
    </row>
    <row r="75" spans="1:18">
      <c r="A75" s="180"/>
      <c r="B75" s="183"/>
      <c r="C75" s="184"/>
      <c r="D75" s="184"/>
      <c r="E75" s="181"/>
      <c r="F75" s="180"/>
      <c r="G75" s="180"/>
      <c r="H75" s="180"/>
      <c r="I75" s="180"/>
      <c r="J75" s="180"/>
      <c r="K75" s="180"/>
      <c r="L75" s="180"/>
      <c r="M75" s="180"/>
      <c r="N75" s="180"/>
      <c r="O75" s="180"/>
      <c r="P75" s="180"/>
      <c r="Q75" s="180"/>
      <c r="R75" s="180"/>
    </row>
    <row r="76" spans="1:18">
      <c r="A76" s="180"/>
      <c r="B76" s="183"/>
      <c r="C76" s="184"/>
      <c r="D76" s="184"/>
      <c r="E76" s="181"/>
      <c r="F76" s="180"/>
      <c r="G76" s="180"/>
      <c r="H76" s="180"/>
      <c r="I76" s="180"/>
      <c r="J76" s="180"/>
      <c r="K76" s="180"/>
      <c r="L76" s="180"/>
      <c r="M76" s="180"/>
      <c r="N76" s="180"/>
      <c r="O76" s="180"/>
      <c r="P76" s="180"/>
      <c r="Q76" s="180"/>
      <c r="R76" s="180"/>
    </row>
    <row r="77" spans="1:18">
      <c r="A77" s="180"/>
      <c r="B77" s="183"/>
      <c r="C77" s="184"/>
      <c r="D77" s="184"/>
      <c r="E77" s="181"/>
      <c r="F77" s="180"/>
      <c r="G77" s="180"/>
      <c r="H77" s="180"/>
      <c r="I77" s="180"/>
      <c r="J77" s="180"/>
      <c r="K77" s="180"/>
      <c r="L77" s="180"/>
      <c r="M77" s="180"/>
      <c r="N77" s="180"/>
      <c r="O77" s="180"/>
      <c r="P77" s="180"/>
      <c r="Q77" s="180"/>
      <c r="R77" s="180"/>
    </row>
    <row r="78" spans="1:18">
      <c r="A78" s="180"/>
      <c r="B78" s="183"/>
      <c r="C78" s="184"/>
      <c r="D78" s="184"/>
      <c r="E78" s="181"/>
      <c r="F78" s="180"/>
      <c r="G78" s="180"/>
      <c r="H78" s="180"/>
      <c r="I78" s="180"/>
      <c r="J78" s="180"/>
      <c r="K78" s="180"/>
      <c r="L78" s="180"/>
      <c r="M78" s="180"/>
      <c r="N78" s="180"/>
      <c r="O78" s="180"/>
      <c r="P78" s="180"/>
      <c r="Q78" s="180"/>
      <c r="R78" s="180"/>
    </row>
    <row r="79" spans="1:18">
      <c r="A79" s="180"/>
      <c r="B79" s="183"/>
      <c r="C79" s="184"/>
      <c r="D79" s="184"/>
      <c r="E79" s="181"/>
      <c r="F79" s="180"/>
      <c r="G79" s="180"/>
      <c r="H79" s="180"/>
      <c r="I79" s="180"/>
      <c r="J79" s="180"/>
      <c r="K79" s="180"/>
      <c r="L79" s="180"/>
      <c r="M79" s="180"/>
      <c r="N79" s="180"/>
      <c r="O79" s="180"/>
      <c r="P79" s="180"/>
      <c r="Q79" s="180"/>
      <c r="R79" s="180"/>
    </row>
    <row r="80" spans="1:18">
      <c r="A80" s="180"/>
      <c r="B80" s="183"/>
      <c r="C80" s="184"/>
      <c r="D80" s="184"/>
      <c r="E80" s="181"/>
      <c r="F80" s="180"/>
      <c r="G80" s="180"/>
      <c r="H80" s="180"/>
      <c r="I80" s="180"/>
      <c r="J80" s="180"/>
      <c r="K80" s="180"/>
      <c r="L80" s="180"/>
      <c r="M80" s="180"/>
      <c r="N80" s="180"/>
      <c r="O80" s="180"/>
      <c r="P80" s="180"/>
      <c r="Q80" s="180"/>
      <c r="R80" s="180"/>
    </row>
    <row r="81" spans="1:18">
      <c r="A81" s="180"/>
      <c r="B81" s="183"/>
      <c r="C81" s="184"/>
      <c r="D81" s="184"/>
      <c r="E81" s="181"/>
      <c r="F81" s="180"/>
      <c r="G81" s="180"/>
      <c r="H81" s="180"/>
      <c r="I81" s="180"/>
      <c r="J81" s="180"/>
      <c r="K81" s="180"/>
      <c r="L81" s="180"/>
      <c r="M81" s="180"/>
      <c r="N81" s="180"/>
      <c r="O81" s="180"/>
      <c r="P81" s="180"/>
      <c r="Q81" s="180"/>
      <c r="R81" s="180"/>
    </row>
    <row r="82" spans="1:18">
      <c r="A82" s="180"/>
      <c r="B82" s="183"/>
      <c r="C82" s="184"/>
      <c r="D82" s="184"/>
      <c r="E82" s="181"/>
      <c r="F82" s="180"/>
      <c r="G82" s="180"/>
      <c r="H82" s="180"/>
      <c r="I82" s="180"/>
      <c r="J82" s="180"/>
      <c r="K82" s="180"/>
      <c r="L82" s="180"/>
      <c r="M82" s="180"/>
      <c r="N82" s="180"/>
      <c r="O82" s="180"/>
      <c r="P82" s="180"/>
    </row>
    <row r="83" spans="1:18">
      <c r="A83" s="180"/>
      <c r="B83" s="183"/>
      <c r="C83" s="184"/>
      <c r="D83" s="184"/>
      <c r="E83" s="181"/>
      <c r="F83" s="180"/>
      <c r="G83" s="180"/>
      <c r="H83" s="180"/>
      <c r="I83" s="180"/>
      <c r="J83" s="180"/>
      <c r="K83" s="180"/>
      <c r="L83" s="180"/>
      <c r="M83" s="180"/>
      <c r="N83" s="180"/>
      <c r="O83" s="180"/>
      <c r="P83" s="180"/>
    </row>
    <row r="84" spans="1:18">
      <c r="A84" s="180"/>
      <c r="B84" s="183"/>
      <c r="C84" s="184"/>
      <c r="D84" s="184"/>
      <c r="E84" s="181"/>
      <c r="F84" s="180"/>
      <c r="G84" s="180"/>
      <c r="H84" s="180"/>
      <c r="I84" s="180"/>
      <c r="J84" s="180"/>
      <c r="K84" s="180"/>
      <c r="L84" s="180"/>
      <c r="M84" s="180"/>
      <c r="N84" s="180"/>
      <c r="O84" s="180"/>
      <c r="P84" s="180"/>
    </row>
    <row r="85" spans="1:18">
      <c r="A85" s="180"/>
      <c r="B85" s="183"/>
      <c r="C85" s="184"/>
      <c r="D85" s="184"/>
      <c r="E85" s="181"/>
      <c r="F85" s="180"/>
      <c r="G85" s="180"/>
      <c r="H85" s="180"/>
      <c r="I85" s="180"/>
      <c r="J85" s="180"/>
      <c r="K85" s="180"/>
      <c r="L85" s="180"/>
      <c r="M85" s="180"/>
      <c r="N85" s="180"/>
      <c r="O85" s="180"/>
      <c r="P85" s="180"/>
    </row>
    <row r="86" spans="1:18">
      <c r="A86" s="180"/>
      <c r="B86" s="183"/>
      <c r="C86" s="184"/>
      <c r="D86" s="184"/>
      <c r="E86" s="181"/>
      <c r="F86" s="180"/>
      <c r="G86" s="180"/>
      <c r="H86" s="180"/>
      <c r="I86" s="180"/>
      <c r="J86" s="180"/>
      <c r="K86" s="180"/>
      <c r="L86" s="180"/>
      <c r="M86" s="180"/>
      <c r="N86" s="180"/>
      <c r="O86" s="180"/>
      <c r="P86" s="180"/>
    </row>
    <row r="87" spans="1:18">
      <c r="A87" s="180"/>
      <c r="B87" s="183"/>
      <c r="C87" s="184"/>
      <c r="D87" s="184"/>
      <c r="E87" s="181"/>
      <c r="F87" s="180"/>
      <c r="G87" s="180"/>
      <c r="H87" s="180"/>
      <c r="I87" s="180"/>
      <c r="J87" s="180"/>
      <c r="K87" s="180"/>
      <c r="L87" s="180"/>
      <c r="M87" s="180"/>
      <c r="N87" s="180"/>
      <c r="O87" s="180"/>
      <c r="P87" s="180"/>
    </row>
    <row r="88" spans="1:18">
      <c r="A88" s="180"/>
      <c r="B88" s="183"/>
      <c r="C88" s="184"/>
      <c r="D88" s="184"/>
      <c r="E88" s="181"/>
      <c r="F88" s="180"/>
      <c r="G88" s="180"/>
      <c r="H88" s="180"/>
      <c r="I88" s="180"/>
      <c r="J88" s="180"/>
      <c r="K88" s="180"/>
      <c r="L88" s="180"/>
      <c r="M88" s="180"/>
      <c r="N88" s="180"/>
      <c r="O88" s="180"/>
      <c r="P88" s="180"/>
    </row>
    <row r="89" spans="1:18">
      <c r="A89" s="180"/>
      <c r="B89" s="183"/>
      <c r="C89" s="184"/>
      <c r="D89" s="184"/>
      <c r="E89" s="181"/>
      <c r="F89" s="180"/>
      <c r="G89" s="180"/>
      <c r="H89" s="180"/>
      <c r="I89" s="180"/>
      <c r="J89" s="180"/>
      <c r="K89" s="180"/>
      <c r="L89" s="180"/>
      <c r="M89" s="180"/>
      <c r="N89" s="180"/>
      <c r="O89" s="180"/>
      <c r="P89" s="180"/>
    </row>
    <row r="90" spans="1:18">
      <c r="A90" s="180"/>
      <c r="B90" s="183"/>
      <c r="C90" s="184"/>
      <c r="D90" s="184"/>
      <c r="E90" s="181"/>
      <c r="F90" s="180"/>
      <c r="G90" s="180"/>
      <c r="H90" s="180"/>
      <c r="I90" s="180"/>
      <c r="J90" s="180"/>
      <c r="K90" s="180"/>
      <c r="L90" s="180"/>
      <c r="M90" s="180"/>
      <c r="N90" s="180"/>
      <c r="O90" s="180"/>
      <c r="P90" s="180"/>
    </row>
    <row r="91" spans="1:18">
      <c r="A91" s="180"/>
      <c r="B91" s="183"/>
      <c r="C91" s="184"/>
      <c r="D91" s="184"/>
      <c r="E91" s="181"/>
      <c r="F91" s="180"/>
      <c r="G91" s="180"/>
      <c r="H91" s="180"/>
      <c r="I91" s="180"/>
      <c r="J91" s="180"/>
      <c r="K91" s="180"/>
      <c r="L91" s="180"/>
      <c r="M91" s="180"/>
      <c r="N91" s="180"/>
      <c r="O91" s="180"/>
      <c r="P91" s="180"/>
    </row>
    <row r="92" spans="1:18">
      <c r="A92" s="180"/>
      <c r="B92" s="183"/>
      <c r="C92" s="184"/>
      <c r="D92" s="184"/>
      <c r="E92" s="181"/>
      <c r="F92" s="180"/>
      <c r="G92" s="180"/>
      <c r="H92" s="180"/>
      <c r="I92" s="180"/>
      <c r="J92" s="180"/>
      <c r="K92" s="180"/>
      <c r="L92" s="180"/>
      <c r="M92" s="180"/>
      <c r="N92" s="180"/>
      <c r="O92" s="180"/>
      <c r="P92" s="180"/>
    </row>
  </sheetData>
  <autoFilter ref="B2:D63"/>
  <mergeCells count="2">
    <mergeCell ref="B1:D1"/>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4"/>
  <sheetViews>
    <sheetView workbookViewId="0">
      <selection activeCell="B2" sqref="B2"/>
    </sheetView>
  </sheetViews>
  <sheetFormatPr baseColWidth="10" defaultColWidth="11.44140625" defaultRowHeight="14.4"/>
  <cols>
    <col min="2" max="2" width="16.6640625" customWidth="1"/>
    <col min="3" max="3" width="20.6640625" customWidth="1"/>
    <col min="4" max="4" width="18.44140625" customWidth="1"/>
    <col min="5" max="5" width="27" customWidth="1"/>
  </cols>
  <sheetData>
    <row r="1" spans="1:27">
      <c r="A1" s="187"/>
      <c r="B1" s="372" t="s">
        <v>108</v>
      </c>
      <c r="C1" s="373"/>
      <c r="D1" s="373"/>
      <c r="E1" s="374"/>
      <c r="F1" s="187"/>
      <c r="G1" s="187"/>
      <c r="H1" s="187"/>
      <c r="I1" s="187"/>
      <c r="J1" s="187"/>
      <c r="K1" s="187"/>
      <c r="L1" s="187"/>
      <c r="M1" s="187"/>
      <c r="N1" s="187"/>
      <c r="O1" s="187"/>
      <c r="P1" s="187"/>
      <c r="Q1" s="187"/>
      <c r="R1" s="187"/>
      <c r="S1" s="187"/>
      <c r="T1" s="187"/>
      <c r="U1" s="187"/>
      <c r="V1" s="187"/>
      <c r="W1" s="187"/>
      <c r="X1" s="187"/>
      <c r="Y1" s="187"/>
      <c r="Z1" s="187"/>
      <c r="AA1" s="187"/>
    </row>
    <row r="2" spans="1:27" ht="43.2" customHeight="1">
      <c r="A2" s="187"/>
      <c r="B2" s="188" t="s">
        <v>19</v>
      </c>
      <c r="C2" s="186" t="s">
        <v>109</v>
      </c>
      <c r="D2" s="185" t="s">
        <v>20</v>
      </c>
      <c r="E2" s="185" t="str">
        <f>"Objectif de baisse SNBC entre "&amp;TEXT('Choix années'!$C$4,"#")&amp;" et "&amp;TEXT('Choix années'!$C$5,"#")&amp;" "</f>
        <v xml:space="preserve">Objectif de baisse SNBC entre 2019 et 2030 </v>
      </c>
      <c r="F2" s="187"/>
      <c r="G2" s="367" t="s">
        <v>110</v>
      </c>
      <c r="H2" s="368"/>
      <c r="I2" s="187"/>
      <c r="J2" s="187"/>
      <c r="K2" s="187"/>
      <c r="L2" s="187"/>
      <c r="M2" s="187"/>
      <c r="N2" s="187"/>
      <c r="O2" s="187"/>
      <c r="P2" s="187"/>
      <c r="Q2" s="187"/>
      <c r="R2" s="187"/>
      <c r="S2" s="187"/>
      <c r="T2" s="187"/>
      <c r="U2" s="187"/>
      <c r="V2" s="187"/>
      <c r="W2" s="187"/>
      <c r="X2" s="187"/>
      <c r="Y2" s="187"/>
      <c r="Z2" s="187"/>
      <c r="AA2" s="187"/>
    </row>
    <row r="3" spans="1:27" ht="57.6">
      <c r="A3" s="187"/>
      <c r="B3" s="10" t="s">
        <v>111</v>
      </c>
      <c r="C3" s="10" t="s">
        <v>112</v>
      </c>
      <c r="D3" s="8" t="s">
        <v>90</v>
      </c>
      <c r="E3" s="9">
        <f>Energie!D14</f>
        <v>0.6015937401171787</v>
      </c>
      <c r="F3" s="291" t="s">
        <v>113</v>
      </c>
      <c r="G3" s="187"/>
      <c r="H3" s="187"/>
      <c r="I3" s="187"/>
      <c r="J3" s="187"/>
      <c r="K3" s="187"/>
      <c r="L3" s="187"/>
      <c r="M3" s="187"/>
      <c r="N3" s="187"/>
      <c r="O3" s="187"/>
      <c r="P3" s="187"/>
      <c r="Q3" s="187"/>
      <c r="R3" s="187"/>
      <c r="S3" s="187"/>
      <c r="T3" s="187"/>
      <c r="U3" s="187"/>
      <c r="V3" s="187"/>
      <c r="W3" s="187"/>
      <c r="X3" s="187"/>
      <c r="Y3" s="187"/>
      <c r="Z3" s="187"/>
      <c r="AA3" s="187"/>
    </row>
    <row r="4" spans="1:27" ht="72">
      <c r="A4" s="187"/>
      <c r="B4" s="10" t="s">
        <v>111</v>
      </c>
      <c r="C4" s="10" t="s">
        <v>114</v>
      </c>
      <c r="D4" s="8" t="s">
        <v>92</v>
      </c>
      <c r="E4" s="15">
        <f>Energie!D18</f>
        <v>0.23619124564005778</v>
      </c>
      <c r="F4" s="187"/>
      <c r="G4" s="187"/>
      <c r="H4" s="187"/>
      <c r="I4" s="187"/>
      <c r="J4" s="187"/>
      <c r="K4" s="187"/>
      <c r="L4" s="187"/>
      <c r="M4" s="187"/>
      <c r="N4" s="187"/>
      <c r="O4" s="187"/>
      <c r="P4" s="187"/>
      <c r="Q4" s="187"/>
      <c r="R4" s="187"/>
      <c r="S4" s="187"/>
      <c r="T4" s="187"/>
      <c r="U4" s="187"/>
      <c r="V4" s="187"/>
      <c r="W4" s="187"/>
      <c r="X4" s="187"/>
      <c r="Y4" s="187"/>
      <c r="Z4" s="187"/>
      <c r="AA4" s="187"/>
    </row>
    <row r="5" spans="1:27">
      <c r="A5" s="187"/>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row>
    <row r="6" spans="1:27">
      <c r="A6" s="187"/>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row>
    <row r="7" spans="1:27">
      <c r="A7" s="187"/>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row>
    <row r="8" spans="1:27">
      <c r="A8" s="187"/>
      <c r="B8" s="187"/>
      <c r="C8" s="187"/>
      <c r="D8" s="187"/>
      <c r="E8" s="187"/>
      <c r="F8" s="187"/>
      <c r="G8" s="187"/>
      <c r="H8" s="187"/>
      <c r="I8" s="187"/>
      <c r="J8" s="187"/>
      <c r="K8" s="187"/>
      <c r="L8" s="187"/>
      <c r="M8" s="187"/>
      <c r="N8" s="187"/>
      <c r="O8" s="187"/>
      <c r="P8" s="187"/>
      <c r="Q8" s="187"/>
      <c r="R8" s="187"/>
      <c r="S8" s="187"/>
      <c r="T8" s="187"/>
      <c r="U8" s="187"/>
      <c r="V8" s="187"/>
      <c r="W8" s="187"/>
      <c r="X8" s="187"/>
      <c r="Y8" s="187"/>
      <c r="Z8" s="187"/>
      <c r="AA8" s="187"/>
    </row>
    <row r="9" spans="1:27">
      <c r="A9" s="187"/>
      <c r="B9" s="187"/>
      <c r="C9" s="187"/>
      <c r="D9" s="187"/>
      <c r="E9" s="187"/>
      <c r="F9" s="187"/>
      <c r="G9" s="187"/>
      <c r="H9" s="187"/>
      <c r="I9" s="187"/>
      <c r="J9" s="187"/>
      <c r="K9" s="187"/>
      <c r="L9" s="187"/>
      <c r="M9" s="187"/>
      <c r="N9" s="187"/>
      <c r="O9" s="187"/>
      <c r="P9" s="187"/>
      <c r="Q9" s="187"/>
      <c r="R9" s="187"/>
      <c r="S9" s="187"/>
      <c r="T9" s="187"/>
      <c r="U9" s="187"/>
      <c r="V9" s="187"/>
      <c r="W9" s="187"/>
      <c r="X9" s="187"/>
      <c r="Y9" s="187"/>
      <c r="Z9" s="187"/>
      <c r="AA9" s="187"/>
    </row>
    <row r="10" spans="1:27">
      <c r="A10" s="187"/>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row>
    <row r="11" spans="1:27">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row>
    <row r="12" spans="1:27">
      <c r="A12" s="187"/>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row>
    <row r="13" spans="1:27">
      <c r="A13" s="187"/>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row>
    <row r="14" spans="1:27">
      <c r="A14" s="187"/>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row>
    <row r="15" spans="1:27">
      <c r="A15" s="187"/>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row>
    <row r="16" spans="1:27">
      <c r="A16" s="187"/>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row>
    <row r="17" spans="1:27">
      <c r="A17" s="187"/>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row>
    <row r="18" spans="1:27">
      <c r="A18" s="187"/>
      <c r="B18" s="187"/>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row>
    <row r="19" spans="1:27">
      <c r="A19" s="187"/>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row>
    <row r="20" spans="1:27">
      <c r="A20" s="187"/>
      <c r="B20" s="187"/>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row>
    <row r="21" spans="1:27">
      <c r="A21" s="187"/>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row>
    <row r="22" spans="1:27">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row>
    <row r="23" spans="1:27">
      <c r="A23" s="187"/>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row>
    <row r="24" spans="1:27">
      <c r="A24" s="187"/>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row>
    <row r="25" spans="1:27">
      <c r="A25" s="187"/>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row>
    <row r="26" spans="1:27">
      <c r="A26" s="187"/>
      <c r="B26" s="187"/>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row>
    <row r="27" spans="1:27">
      <c r="A27" s="187"/>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row>
    <row r="28" spans="1:27">
      <c r="A28" s="187"/>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row>
    <row r="29" spans="1:27">
      <c r="A29" s="187"/>
      <c r="B29" s="187"/>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row>
    <row r="30" spans="1:27">
      <c r="A30" s="187"/>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row>
    <row r="31" spans="1:27">
      <c r="A31" s="187"/>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row>
    <row r="32" spans="1:27">
      <c r="A32" s="187"/>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row>
    <row r="33" spans="1:27">
      <c r="A33" s="187"/>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row>
    <row r="34" spans="1:27">
      <c r="A34" s="187"/>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row>
    <row r="35" spans="1:27">
      <c r="A35" s="187"/>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row>
    <row r="36" spans="1:27">
      <c r="A36" s="187"/>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row>
    <row r="37" spans="1:27">
      <c r="A37" s="187"/>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row>
    <row r="38" spans="1:27">
      <c r="A38" s="187"/>
      <c r="B38" s="187"/>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row>
    <row r="39" spans="1:27">
      <c r="A39" s="187"/>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c r="AA39" s="187"/>
    </row>
    <row r="40" spans="1:27">
      <c r="A40" s="187"/>
      <c r="B40" s="187"/>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row>
    <row r="41" spans="1:27">
      <c r="A41" s="187"/>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row>
    <row r="42" spans="1:27">
      <c r="A42" s="187"/>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row>
    <row r="43" spans="1:27">
      <c r="A43" s="187"/>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row>
    <row r="44" spans="1:27">
      <c r="A44" s="187"/>
      <c r="B44" s="187"/>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row>
    <row r="45" spans="1:27">
      <c r="A45" s="187"/>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row>
    <row r="46" spans="1:27">
      <c r="A46" s="187"/>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row>
    <row r="47" spans="1:27">
      <c r="A47" s="187"/>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row>
    <row r="48" spans="1:27">
      <c r="A48" s="187"/>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row>
    <row r="49" spans="1:27">
      <c r="A49" s="187"/>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row>
    <row r="50" spans="1:27">
      <c r="A50" s="187"/>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row>
    <row r="51" spans="1:27">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row>
    <row r="52" spans="1:27">
      <c r="A52" s="187"/>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row>
    <row r="53" spans="1:27">
      <c r="A53" s="187"/>
      <c r="B53" s="187"/>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row>
    <row r="54" spans="1:27">
      <c r="A54" s="187"/>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row>
    <row r="55" spans="1:27">
      <c r="A55" s="187"/>
      <c r="B55" s="187"/>
      <c r="C55" s="187"/>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row>
    <row r="56" spans="1:27">
      <c r="A56" s="187"/>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row>
    <row r="57" spans="1:27">
      <c r="A57" s="187"/>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c r="AA57" s="187"/>
    </row>
    <row r="58" spans="1:27">
      <c r="A58" s="187"/>
      <c r="B58" s="187"/>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row>
    <row r="59" spans="1:27">
      <c r="A59" s="187"/>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row>
    <row r="60" spans="1:27">
      <c r="A60" s="187"/>
      <c r="B60" s="187"/>
      <c r="C60" s="187"/>
      <c r="D60" s="187"/>
      <c r="E60" s="187"/>
      <c r="F60" s="187"/>
      <c r="G60" s="187"/>
      <c r="H60" s="187"/>
      <c r="I60" s="187"/>
      <c r="J60" s="187"/>
      <c r="K60" s="187"/>
      <c r="L60" s="187"/>
      <c r="M60" s="187"/>
      <c r="N60" s="187"/>
      <c r="O60" s="187"/>
      <c r="P60" s="187"/>
      <c r="Q60" s="187"/>
      <c r="R60" s="187"/>
      <c r="S60" s="187"/>
      <c r="T60" s="187"/>
      <c r="U60" s="187"/>
      <c r="V60" s="187"/>
      <c r="W60" s="187"/>
      <c r="X60" s="187"/>
      <c r="Y60" s="187"/>
      <c r="Z60" s="187"/>
      <c r="AA60" s="187"/>
    </row>
    <row r="61" spans="1:27">
      <c r="A61" s="187"/>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row>
    <row r="62" spans="1:27">
      <c r="A62" s="187"/>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row>
    <row r="63" spans="1:27">
      <c r="A63" s="187"/>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c r="AA63" s="187"/>
    </row>
    <row r="64" spans="1:27">
      <c r="A64" s="187"/>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row>
  </sheetData>
  <autoFilter ref="B2:E4"/>
  <mergeCells count="2">
    <mergeCell ref="B1:E1"/>
    <mergeCell ref="G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1"/>
  <sheetViews>
    <sheetView workbookViewId="0">
      <selection activeCell="C49" sqref="C49"/>
    </sheetView>
  </sheetViews>
  <sheetFormatPr baseColWidth="10" defaultColWidth="11.5546875" defaultRowHeight="14.4"/>
  <cols>
    <col min="1" max="1" width="11.5546875" style="294"/>
    <col min="2" max="2" width="16.109375" style="294" customWidth="1"/>
    <col min="3" max="3" width="21.5546875" style="294" customWidth="1"/>
    <col min="4" max="4" width="21.6640625" style="294" customWidth="1"/>
    <col min="5" max="5" width="19.33203125" style="294" customWidth="1"/>
    <col min="6" max="6" width="25.6640625" style="295" customWidth="1"/>
    <col min="7" max="16384" width="11.5546875" style="294"/>
  </cols>
  <sheetData>
    <row r="1" spans="1:18">
      <c r="A1" s="296"/>
      <c r="B1" s="375" t="s">
        <v>115</v>
      </c>
      <c r="C1" s="375"/>
      <c r="D1" s="375"/>
      <c r="E1" s="375"/>
      <c r="F1" s="297"/>
      <c r="G1" s="296"/>
      <c r="H1" s="296"/>
      <c r="I1" s="296"/>
      <c r="J1" s="296"/>
      <c r="K1" s="296"/>
      <c r="L1" s="296"/>
      <c r="M1" s="296"/>
      <c r="N1" s="296"/>
      <c r="O1" s="296"/>
      <c r="P1" s="296"/>
      <c r="Q1" s="296"/>
      <c r="R1" s="296"/>
    </row>
    <row r="2" spans="1:18" ht="68.400000000000006" customHeight="1">
      <c r="A2" s="296"/>
      <c r="B2" s="325" t="s">
        <v>19</v>
      </c>
      <c r="C2" s="324" t="s">
        <v>109</v>
      </c>
      <c r="D2" s="324" t="s">
        <v>20</v>
      </c>
      <c r="E2" s="323" t="s">
        <v>116</v>
      </c>
      <c r="F2" s="297"/>
      <c r="G2" s="376" t="s">
        <v>21</v>
      </c>
      <c r="H2" s="377"/>
      <c r="I2" s="296"/>
      <c r="J2" s="296"/>
      <c r="K2" s="296"/>
      <c r="L2" s="296"/>
      <c r="M2" s="296"/>
      <c r="N2" s="296"/>
      <c r="O2" s="296"/>
      <c r="P2" s="296"/>
      <c r="Q2" s="296"/>
      <c r="R2" s="296"/>
    </row>
    <row r="3" spans="1:18" ht="28.8">
      <c r="A3" s="296"/>
      <c r="B3" s="306" t="s">
        <v>22</v>
      </c>
      <c r="C3" s="305" t="s">
        <v>117</v>
      </c>
      <c r="D3" s="305" t="s">
        <v>63</v>
      </c>
      <c r="E3" s="307">
        <f>Transport!D51</f>
        <v>0.22841315091602599</v>
      </c>
      <c r="F3" s="297"/>
      <c r="G3" s="296"/>
      <c r="H3" s="296"/>
      <c r="I3" s="296"/>
      <c r="J3" s="296"/>
      <c r="K3" s="296"/>
      <c r="L3" s="296"/>
      <c r="M3" s="296"/>
      <c r="N3" s="296"/>
      <c r="O3" s="296"/>
      <c r="P3" s="296"/>
      <c r="Q3" s="296"/>
      <c r="R3" s="296"/>
    </row>
    <row r="4" spans="1:18" ht="28.8">
      <c r="A4" s="296"/>
      <c r="B4" s="306" t="s">
        <v>22</v>
      </c>
      <c r="C4" s="305" t="s">
        <v>117</v>
      </c>
      <c r="D4" s="305" t="s">
        <v>64</v>
      </c>
      <c r="E4" s="307">
        <f>Transport!D55</f>
        <v>0.32833912169802348</v>
      </c>
      <c r="F4" s="297"/>
      <c r="G4" s="296"/>
      <c r="H4" s="296"/>
      <c r="I4" s="296"/>
      <c r="J4" s="296"/>
      <c r="K4" s="296"/>
      <c r="L4" s="296"/>
      <c r="M4" s="296"/>
      <c r="N4" s="296"/>
      <c r="O4" s="296"/>
      <c r="P4" s="296"/>
      <c r="Q4" s="296"/>
      <c r="R4" s="296"/>
    </row>
    <row r="5" spans="1:18" ht="28.8">
      <c r="A5" s="296"/>
      <c r="B5" s="306" t="s">
        <v>22</v>
      </c>
      <c r="C5" s="305" t="s">
        <v>117</v>
      </c>
      <c r="D5" s="305" t="s">
        <v>65</v>
      </c>
      <c r="E5" s="318">
        <f>Transport!D59</f>
        <v>8.6214219472463216E-2</v>
      </c>
      <c r="F5" s="297"/>
      <c r="G5" s="296"/>
      <c r="H5" s="296"/>
      <c r="I5" s="296"/>
      <c r="J5" s="296"/>
      <c r="K5" s="296"/>
      <c r="L5" s="296"/>
      <c r="M5" s="296"/>
      <c r="N5" s="296"/>
      <c r="O5" s="296"/>
      <c r="P5" s="296"/>
      <c r="Q5" s="296"/>
      <c r="R5" s="296"/>
    </row>
    <row r="6" spans="1:18" ht="28.8">
      <c r="A6" s="296"/>
      <c r="B6" s="306" t="s">
        <v>22</v>
      </c>
      <c r="C6" s="305" t="s">
        <v>117</v>
      </c>
      <c r="D6" s="305" t="s">
        <v>66</v>
      </c>
      <c r="E6" s="304">
        <f>Transport!D67</f>
        <v>0.18834561394405824</v>
      </c>
      <c r="F6" s="297"/>
      <c r="G6" s="296"/>
      <c r="H6" s="296"/>
      <c r="I6" s="296"/>
      <c r="J6" s="296"/>
      <c r="K6" s="296"/>
      <c r="L6" s="296"/>
      <c r="M6" s="296"/>
      <c r="N6" s="296"/>
      <c r="O6" s="296"/>
      <c r="P6" s="296"/>
      <c r="Q6" s="296"/>
      <c r="R6" s="296"/>
    </row>
    <row r="7" spans="1:18" ht="28.8">
      <c r="A7" s="296"/>
      <c r="B7" s="306" t="s">
        <v>22</v>
      </c>
      <c r="C7" s="305" t="s">
        <v>117</v>
      </c>
      <c r="D7" s="305" t="s">
        <v>61</v>
      </c>
      <c r="E7" s="314">
        <f>Transport!D36</f>
        <v>2.7994423488030384E-2</v>
      </c>
      <c r="F7" s="297"/>
      <c r="G7" s="296"/>
      <c r="H7" s="296"/>
      <c r="I7" s="296"/>
      <c r="J7" s="296"/>
      <c r="K7" s="296"/>
      <c r="L7" s="296"/>
      <c r="M7" s="296"/>
      <c r="N7" s="296"/>
      <c r="O7" s="296"/>
      <c r="P7" s="296"/>
      <c r="Q7" s="296"/>
      <c r="R7" s="296"/>
    </row>
    <row r="8" spans="1:18" ht="28.8">
      <c r="A8" s="296"/>
      <c r="B8" s="306" t="s">
        <v>22</v>
      </c>
      <c r="C8" s="305" t="s">
        <v>118</v>
      </c>
      <c r="D8" s="305" t="s">
        <v>63</v>
      </c>
      <c r="E8" s="307">
        <f>Transport!D51</f>
        <v>0.22841315091602599</v>
      </c>
      <c r="F8" s="297"/>
      <c r="G8" s="296"/>
      <c r="H8" s="296"/>
      <c r="I8" s="296"/>
      <c r="J8" s="296"/>
      <c r="K8" s="296"/>
      <c r="L8" s="296"/>
      <c r="M8" s="296"/>
      <c r="N8" s="296"/>
      <c r="O8" s="296"/>
      <c r="P8" s="296"/>
      <c r="Q8" s="296"/>
      <c r="R8" s="296"/>
    </row>
    <row r="9" spans="1:18" ht="28.8">
      <c r="A9" s="296"/>
      <c r="B9" s="306" t="s">
        <v>22</v>
      </c>
      <c r="C9" s="305" t="s">
        <v>118</v>
      </c>
      <c r="D9" s="305" t="s">
        <v>64</v>
      </c>
      <c r="E9" s="307">
        <f>Transport!D55</f>
        <v>0.32833912169802348</v>
      </c>
      <c r="F9" s="297"/>
      <c r="G9" s="296"/>
      <c r="H9" s="296"/>
      <c r="I9" s="296"/>
      <c r="J9" s="296"/>
      <c r="K9" s="296"/>
      <c r="L9" s="296"/>
      <c r="M9" s="296"/>
      <c r="N9" s="296"/>
      <c r="O9" s="296"/>
      <c r="P9" s="296"/>
      <c r="Q9" s="296"/>
      <c r="R9" s="296"/>
    </row>
    <row r="10" spans="1:18" ht="28.8">
      <c r="A10" s="296"/>
      <c r="B10" s="306" t="s">
        <v>22</v>
      </c>
      <c r="C10" s="305" t="s">
        <v>118</v>
      </c>
      <c r="D10" s="305" t="s">
        <v>65</v>
      </c>
      <c r="E10" s="318">
        <f>Transport!D59</f>
        <v>8.6214219472463216E-2</v>
      </c>
      <c r="F10" s="297"/>
      <c r="G10" s="296"/>
      <c r="H10" s="296"/>
      <c r="I10" s="296"/>
      <c r="J10" s="296"/>
      <c r="K10" s="296"/>
      <c r="L10" s="296"/>
      <c r="M10" s="296"/>
      <c r="N10" s="296"/>
      <c r="O10" s="296"/>
      <c r="P10" s="296"/>
      <c r="Q10" s="296"/>
      <c r="R10" s="296"/>
    </row>
    <row r="11" spans="1:18" ht="28.8">
      <c r="A11" s="296"/>
      <c r="B11" s="306" t="s">
        <v>22</v>
      </c>
      <c r="C11" s="305" t="s">
        <v>118</v>
      </c>
      <c r="D11" s="305" t="s">
        <v>66</v>
      </c>
      <c r="E11" s="304">
        <f>Transport!D67</f>
        <v>0.18834561394405824</v>
      </c>
      <c r="F11" s="297"/>
      <c r="G11" s="296"/>
      <c r="H11" s="296"/>
      <c r="I11" s="296"/>
      <c r="J11" s="296"/>
      <c r="K11" s="296"/>
      <c r="L11" s="296"/>
      <c r="M11" s="296"/>
      <c r="N11" s="296"/>
      <c r="O11" s="296"/>
      <c r="P11" s="296"/>
      <c r="Q11" s="296"/>
      <c r="R11" s="296"/>
    </row>
    <row r="12" spans="1:18" ht="28.8">
      <c r="A12" s="296"/>
      <c r="B12" s="306" t="s">
        <v>22</v>
      </c>
      <c r="C12" s="305" t="s">
        <v>118</v>
      </c>
      <c r="D12" s="305" t="s">
        <v>61</v>
      </c>
      <c r="E12" s="314">
        <f>Transport!D36</f>
        <v>2.7994423488030384E-2</v>
      </c>
      <c r="F12" s="297"/>
      <c r="G12" s="296"/>
      <c r="H12" s="296"/>
      <c r="I12" s="296"/>
      <c r="J12" s="296"/>
      <c r="K12" s="296"/>
      <c r="L12" s="296"/>
      <c r="M12" s="296"/>
      <c r="N12" s="296"/>
      <c r="O12" s="296"/>
      <c r="P12" s="296"/>
      <c r="Q12" s="296"/>
      <c r="R12" s="296"/>
    </row>
    <row r="13" spans="1:18">
      <c r="A13" s="296"/>
      <c r="B13" s="306" t="s">
        <v>24</v>
      </c>
      <c r="C13" s="305" t="s">
        <v>119</v>
      </c>
      <c r="D13" s="305" t="s">
        <v>120</v>
      </c>
      <c r="E13" s="307">
        <f>Industrie!D14</f>
        <v>0.42157217119699508</v>
      </c>
      <c r="F13" s="297"/>
      <c r="G13" s="296"/>
      <c r="H13" s="296"/>
      <c r="I13" s="296"/>
      <c r="J13" s="296"/>
      <c r="K13" s="296"/>
      <c r="L13" s="296"/>
      <c r="M13" s="296"/>
      <c r="N13" s="296"/>
      <c r="O13" s="296"/>
      <c r="P13" s="296"/>
      <c r="Q13" s="296"/>
      <c r="R13" s="296"/>
    </row>
    <row r="14" spans="1:18">
      <c r="A14" s="296"/>
      <c r="B14" s="306" t="s">
        <v>24</v>
      </c>
      <c r="C14" s="305" t="s">
        <v>119</v>
      </c>
      <c r="D14" s="315" t="s">
        <v>35</v>
      </c>
      <c r="E14" s="321">
        <f>Industrie!D22</f>
        <v>0.20640818905967118</v>
      </c>
      <c r="F14" s="291" t="s">
        <v>36</v>
      </c>
      <c r="G14" s="296"/>
      <c r="H14" s="296"/>
      <c r="I14" s="296"/>
      <c r="J14" s="296"/>
      <c r="K14" s="296"/>
      <c r="L14" s="296"/>
      <c r="M14" s="296"/>
      <c r="N14" s="296"/>
      <c r="O14" s="296"/>
      <c r="P14" s="296"/>
      <c r="Q14" s="296"/>
      <c r="R14" s="296"/>
    </row>
    <row r="15" spans="1:18" ht="28.8">
      <c r="A15" s="296"/>
      <c r="B15" s="306" t="s">
        <v>22</v>
      </c>
      <c r="C15" s="305" t="s">
        <v>119</v>
      </c>
      <c r="D15" s="305" t="s">
        <v>121</v>
      </c>
      <c r="E15" s="304">
        <f>Industrie!D30</f>
        <v>0.20439579298923838</v>
      </c>
      <c r="F15" s="297"/>
      <c r="G15" s="296"/>
      <c r="H15" s="296"/>
      <c r="I15" s="296"/>
      <c r="J15" s="296"/>
      <c r="K15" s="296"/>
      <c r="L15" s="296"/>
      <c r="M15" s="296"/>
      <c r="N15" s="296"/>
      <c r="O15" s="296"/>
      <c r="P15" s="296"/>
      <c r="Q15" s="296"/>
      <c r="R15" s="296"/>
    </row>
    <row r="16" spans="1:18" ht="28.8">
      <c r="A16" s="296"/>
      <c r="B16" s="319" t="s">
        <v>30</v>
      </c>
      <c r="C16" s="315" t="s">
        <v>119</v>
      </c>
      <c r="D16" s="315" t="s">
        <v>122</v>
      </c>
      <c r="E16" s="320">
        <f>Industrie!D34</f>
        <v>0.42937986891096847</v>
      </c>
      <c r="F16" s="322" t="s">
        <v>123</v>
      </c>
      <c r="G16" s="296"/>
      <c r="H16" s="296"/>
      <c r="I16" s="296"/>
      <c r="J16" s="296"/>
      <c r="K16" s="296"/>
      <c r="L16" s="296"/>
      <c r="M16" s="296"/>
      <c r="N16" s="296"/>
      <c r="O16" s="296"/>
      <c r="P16" s="296"/>
      <c r="Q16" s="296"/>
      <c r="R16" s="296"/>
    </row>
    <row r="17" spans="1:18" ht="28.8">
      <c r="A17" s="296"/>
      <c r="B17" s="319" t="s">
        <v>30</v>
      </c>
      <c r="C17" s="315" t="s">
        <v>119</v>
      </c>
      <c r="D17" s="315" t="s">
        <v>40</v>
      </c>
      <c r="E17" s="321">
        <f>Industrie!D38</f>
        <v>0.69967980364429361</v>
      </c>
      <c r="F17" s="297"/>
      <c r="G17" s="296"/>
      <c r="H17" s="296"/>
      <c r="I17" s="296"/>
      <c r="J17" s="296"/>
      <c r="K17" s="296"/>
      <c r="L17" s="296"/>
      <c r="M17" s="296"/>
      <c r="N17" s="296"/>
      <c r="O17" s="296"/>
      <c r="P17" s="296"/>
      <c r="Q17" s="296"/>
      <c r="R17" s="296"/>
    </row>
    <row r="18" spans="1:18" ht="28.8">
      <c r="A18" s="296"/>
      <c r="B18" s="361" t="s">
        <v>32</v>
      </c>
      <c r="C18" s="315" t="s">
        <v>119</v>
      </c>
      <c r="D18" s="315" t="s">
        <v>33</v>
      </c>
      <c r="E18" s="320">
        <f>Industrie!D42</f>
        <v>0.63485395877613227</v>
      </c>
      <c r="F18" s="297"/>
      <c r="G18" s="296"/>
      <c r="H18" s="296"/>
      <c r="I18" s="296"/>
      <c r="J18" s="296"/>
      <c r="K18" s="296"/>
      <c r="L18" s="296"/>
      <c r="M18" s="296"/>
      <c r="N18" s="296"/>
      <c r="O18" s="296"/>
      <c r="P18" s="296"/>
      <c r="Q18" s="296"/>
      <c r="R18" s="296"/>
    </row>
    <row r="19" spans="1:18" ht="28.8">
      <c r="A19" s="296"/>
      <c r="B19" s="362" t="s">
        <v>32</v>
      </c>
      <c r="C19" s="305" t="s">
        <v>119</v>
      </c>
      <c r="D19" s="305" t="s">
        <v>41</v>
      </c>
      <c r="E19" s="304">
        <f>Industrie!D46</f>
        <v>0.22699818205480371</v>
      </c>
      <c r="F19" s="297"/>
      <c r="G19" s="296"/>
      <c r="H19" s="296"/>
      <c r="I19" s="296"/>
      <c r="J19" s="296"/>
      <c r="K19" s="296"/>
      <c r="L19" s="296"/>
      <c r="M19" s="296"/>
      <c r="N19" s="296"/>
      <c r="O19" s="296"/>
      <c r="P19" s="296"/>
      <c r="Q19" s="296"/>
      <c r="R19" s="296"/>
    </row>
    <row r="20" spans="1:18" ht="28.8">
      <c r="A20" s="296"/>
      <c r="B20" s="362" t="s">
        <v>124</v>
      </c>
      <c r="C20" s="305" t="s">
        <v>119</v>
      </c>
      <c r="D20" s="308" t="s">
        <v>42</v>
      </c>
      <c r="E20" s="304">
        <f>Industrie!D50</f>
        <v>0.16625164897908595</v>
      </c>
      <c r="F20" s="291" t="s">
        <v>36</v>
      </c>
      <c r="G20" s="296"/>
      <c r="H20" s="296"/>
      <c r="I20" s="296"/>
      <c r="J20" s="296"/>
      <c r="K20" s="296"/>
      <c r="L20" s="296"/>
      <c r="M20" s="296"/>
      <c r="N20" s="296"/>
      <c r="O20" s="296"/>
      <c r="P20" s="296"/>
      <c r="Q20" s="296"/>
      <c r="R20" s="296"/>
    </row>
    <row r="21" spans="1:18" ht="43.2">
      <c r="A21" s="296"/>
      <c r="B21" s="306" t="s">
        <v>26</v>
      </c>
      <c r="C21" s="305" t="s">
        <v>119</v>
      </c>
      <c r="D21" s="305" t="s">
        <v>43</v>
      </c>
      <c r="E21" s="304">
        <f>Industrie!D54</f>
        <v>0.32019987210632006</v>
      </c>
      <c r="F21" s="297"/>
      <c r="G21" s="296"/>
      <c r="H21" s="296"/>
      <c r="I21" s="296"/>
      <c r="J21" s="296"/>
      <c r="K21" s="296"/>
      <c r="L21" s="296"/>
      <c r="M21" s="296"/>
      <c r="N21" s="296"/>
      <c r="O21" s="296"/>
      <c r="P21" s="296"/>
      <c r="Q21" s="296"/>
      <c r="R21" s="296"/>
    </row>
    <row r="22" spans="1:18" ht="28.8">
      <c r="A22" s="296"/>
      <c r="B22" s="306" t="s">
        <v>125</v>
      </c>
      <c r="C22" s="305" t="s">
        <v>119</v>
      </c>
      <c r="D22" s="308" t="s">
        <v>126</v>
      </c>
      <c r="E22" s="304">
        <f>Industrie!D58</f>
        <v>0.13739295075356006</v>
      </c>
      <c r="F22" s="291" t="s">
        <v>36</v>
      </c>
      <c r="G22" s="296"/>
      <c r="H22" s="296"/>
      <c r="I22" s="296"/>
      <c r="J22" s="296"/>
      <c r="K22" s="296"/>
      <c r="L22" s="296"/>
      <c r="M22" s="296"/>
      <c r="N22" s="296"/>
      <c r="O22" s="296"/>
      <c r="P22" s="296"/>
      <c r="Q22" s="296"/>
      <c r="R22" s="296"/>
    </row>
    <row r="23" spans="1:18" ht="28.8">
      <c r="A23" s="296"/>
      <c r="B23" s="306" t="s">
        <v>127</v>
      </c>
      <c r="C23" s="305" t="s">
        <v>119</v>
      </c>
      <c r="D23" s="305" t="s">
        <v>46</v>
      </c>
      <c r="E23" s="304">
        <f>Industrie!D66</f>
        <v>0.30130923392044318</v>
      </c>
      <c r="F23" s="291" t="s">
        <v>36</v>
      </c>
      <c r="G23" s="296"/>
      <c r="H23" s="296"/>
      <c r="I23" s="296"/>
      <c r="J23" s="296"/>
      <c r="K23" s="296"/>
      <c r="L23" s="296"/>
      <c r="M23" s="296"/>
      <c r="N23" s="296"/>
      <c r="O23" s="296"/>
      <c r="P23" s="296"/>
      <c r="Q23" s="296"/>
      <c r="R23" s="296"/>
    </row>
    <row r="24" spans="1:18" ht="28.8">
      <c r="A24" s="296"/>
      <c r="B24" s="306" t="s">
        <v>128</v>
      </c>
      <c r="C24" s="305" t="s">
        <v>129</v>
      </c>
      <c r="D24" s="305" t="s">
        <v>57</v>
      </c>
      <c r="E24" s="307">
        <f>Transport!D20</f>
        <v>0.4176128808784465</v>
      </c>
      <c r="F24" s="297"/>
      <c r="G24" s="296"/>
      <c r="H24" s="296"/>
      <c r="I24" s="296"/>
      <c r="J24" s="296"/>
      <c r="K24" s="296"/>
      <c r="L24" s="296"/>
      <c r="M24" s="296"/>
      <c r="N24" s="296"/>
      <c r="O24" s="296"/>
      <c r="P24" s="296"/>
      <c r="Q24" s="296"/>
      <c r="R24" s="296"/>
    </row>
    <row r="25" spans="1:18" ht="28.8">
      <c r="A25" s="296"/>
      <c r="B25" s="306" t="s">
        <v>128</v>
      </c>
      <c r="C25" s="305" t="s">
        <v>129</v>
      </c>
      <c r="D25" s="305" t="s">
        <v>64</v>
      </c>
      <c r="E25" s="307">
        <f>Transport!D55</f>
        <v>0.32833912169802348</v>
      </c>
      <c r="F25" s="297"/>
      <c r="G25" s="296"/>
      <c r="H25" s="296"/>
      <c r="I25" s="296"/>
      <c r="J25" s="296"/>
      <c r="K25" s="296"/>
      <c r="L25" s="296"/>
      <c r="M25" s="296"/>
      <c r="N25" s="296"/>
      <c r="O25" s="296"/>
      <c r="P25" s="296"/>
      <c r="Q25" s="296"/>
      <c r="R25" s="296"/>
    </row>
    <row r="26" spans="1:18" ht="57.6">
      <c r="A26" s="296"/>
      <c r="B26" s="319" t="s">
        <v>130</v>
      </c>
      <c r="C26" s="315" t="s">
        <v>129</v>
      </c>
      <c r="D26" s="315" t="s">
        <v>90</v>
      </c>
      <c r="E26" s="311">
        <f>Energie!D14</f>
        <v>0.6015937401171787</v>
      </c>
      <c r="F26" s="297"/>
      <c r="G26" s="296"/>
      <c r="H26" s="296"/>
      <c r="I26" s="296"/>
      <c r="J26" s="296"/>
      <c r="K26" s="296"/>
      <c r="L26" s="296"/>
      <c r="M26" s="296"/>
      <c r="N26" s="296"/>
      <c r="O26" s="296"/>
      <c r="P26" s="296"/>
      <c r="Q26" s="296"/>
      <c r="R26" s="296"/>
    </row>
    <row r="27" spans="1:18" ht="28.8">
      <c r="A27" s="296"/>
      <c r="B27" s="306" t="s">
        <v>131</v>
      </c>
      <c r="C27" s="305" t="s">
        <v>129</v>
      </c>
      <c r="D27" s="305" t="s">
        <v>61</v>
      </c>
      <c r="E27" s="307">
        <f>Transport!D36</f>
        <v>2.7994423488030384E-2</v>
      </c>
      <c r="F27" s="297"/>
      <c r="G27" s="296"/>
      <c r="H27" s="296"/>
      <c r="I27" s="296"/>
      <c r="J27" s="296"/>
      <c r="K27" s="296"/>
      <c r="L27" s="296"/>
      <c r="M27" s="296"/>
      <c r="N27" s="296"/>
      <c r="O27" s="296"/>
      <c r="P27" s="296"/>
      <c r="Q27" s="296"/>
      <c r="R27" s="296"/>
    </row>
    <row r="28" spans="1:18" ht="28.8">
      <c r="A28" s="296"/>
      <c r="B28" s="306" t="s">
        <v>26</v>
      </c>
      <c r="C28" s="305" t="s">
        <v>129</v>
      </c>
      <c r="D28" s="305" t="s">
        <v>132</v>
      </c>
      <c r="E28" s="307">
        <f>Bâtiment!D20</f>
        <v>0.51784690785677023</v>
      </c>
      <c r="F28" s="297"/>
      <c r="G28" s="296"/>
      <c r="H28" s="296"/>
      <c r="I28" s="296"/>
      <c r="J28" s="296"/>
      <c r="K28" s="296"/>
      <c r="L28" s="296"/>
      <c r="M28" s="296"/>
      <c r="N28" s="296"/>
      <c r="O28" s="296"/>
      <c r="P28" s="296"/>
      <c r="Q28" s="296"/>
      <c r="R28" s="296"/>
    </row>
    <row r="29" spans="1:18" ht="28.8">
      <c r="A29" s="296"/>
      <c r="B29" s="306" t="s">
        <v>26</v>
      </c>
      <c r="C29" s="305" t="s">
        <v>129</v>
      </c>
      <c r="D29" s="305" t="s">
        <v>133</v>
      </c>
      <c r="E29" s="307">
        <f>Bâtiment!D44</f>
        <v>0.58366114603296571</v>
      </c>
      <c r="F29" s="297"/>
      <c r="G29" s="296"/>
      <c r="H29" s="296"/>
      <c r="I29" s="296"/>
      <c r="J29" s="296"/>
      <c r="K29" s="296"/>
      <c r="L29" s="296"/>
      <c r="M29" s="296"/>
      <c r="N29" s="296"/>
      <c r="O29" s="296"/>
      <c r="P29" s="296"/>
      <c r="Q29" s="296"/>
      <c r="R29" s="296"/>
    </row>
    <row r="30" spans="1:18" ht="28.8">
      <c r="A30" s="296"/>
      <c r="B30" s="306" t="s">
        <v>22</v>
      </c>
      <c r="C30" s="305" t="s">
        <v>134</v>
      </c>
      <c r="D30" s="308" t="s">
        <v>82</v>
      </c>
      <c r="E30" s="307">
        <f>Déchets!D10</f>
        <v>0.55010232857349328</v>
      </c>
      <c r="F30" s="297"/>
      <c r="G30" s="296"/>
      <c r="H30" s="296"/>
      <c r="I30" s="296"/>
      <c r="J30" s="296"/>
      <c r="K30" s="296"/>
      <c r="L30" s="296"/>
      <c r="M30" s="296"/>
      <c r="N30" s="296"/>
      <c r="O30" s="296"/>
      <c r="P30" s="296"/>
      <c r="Q30" s="296"/>
      <c r="R30" s="296"/>
    </row>
    <row r="31" spans="1:18" ht="28.8">
      <c r="A31" s="296"/>
      <c r="B31" s="306" t="s">
        <v>22</v>
      </c>
      <c r="C31" s="305" t="s">
        <v>134</v>
      </c>
      <c r="D31" s="305" t="s">
        <v>83</v>
      </c>
      <c r="E31" s="307">
        <f>Déchets!D14</f>
        <v>0.68867374665974523</v>
      </c>
      <c r="F31" s="297"/>
      <c r="G31" s="296"/>
      <c r="H31" s="296"/>
      <c r="I31" s="296"/>
      <c r="J31" s="296"/>
      <c r="K31" s="296"/>
      <c r="L31" s="296"/>
      <c r="M31" s="296"/>
      <c r="N31" s="296"/>
      <c r="O31" s="296"/>
      <c r="P31" s="296"/>
      <c r="Q31" s="296"/>
      <c r="R31" s="296"/>
    </row>
    <row r="32" spans="1:18" ht="28.8">
      <c r="A32" s="296"/>
      <c r="B32" s="306" t="s">
        <v>22</v>
      </c>
      <c r="C32" s="305" t="s">
        <v>134</v>
      </c>
      <c r="D32" s="305" t="s">
        <v>84</v>
      </c>
      <c r="E32" s="318">
        <f>Déchets!D18</f>
        <v>-9.9116350447240542E-2</v>
      </c>
      <c r="F32" s="297"/>
      <c r="G32" s="296"/>
      <c r="H32" s="296"/>
      <c r="I32" s="296"/>
      <c r="J32" s="296"/>
      <c r="K32" s="296"/>
      <c r="L32" s="296"/>
      <c r="M32" s="296"/>
      <c r="N32" s="296"/>
      <c r="O32" s="296"/>
      <c r="P32" s="296"/>
      <c r="Q32" s="296"/>
      <c r="R32" s="296"/>
    </row>
    <row r="33" spans="1:18" ht="28.8">
      <c r="A33" s="296"/>
      <c r="B33" s="306" t="s">
        <v>22</v>
      </c>
      <c r="C33" s="305" t="s">
        <v>134</v>
      </c>
      <c r="D33" s="305" t="s">
        <v>85</v>
      </c>
      <c r="E33" s="304">
        <f>Déchets!D22</f>
        <v>-5.9685131408808711E-2</v>
      </c>
      <c r="F33" s="297"/>
      <c r="G33" s="296"/>
      <c r="H33" s="296"/>
      <c r="I33" s="296"/>
      <c r="J33" s="296"/>
      <c r="K33" s="296"/>
      <c r="L33" s="296"/>
      <c r="M33" s="296"/>
      <c r="N33" s="296"/>
      <c r="O33" s="296"/>
      <c r="P33" s="296"/>
      <c r="Q33" s="296"/>
      <c r="R33" s="296"/>
    </row>
    <row r="34" spans="1:18" ht="28.8">
      <c r="A34" s="296"/>
      <c r="B34" s="306" t="s">
        <v>135</v>
      </c>
      <c r="C34" s="308" t="s">
        <v>119</v>
      </c>
      <c r="D34" s="305" t="s">
        <v>121</v>
      </c>
      <c r="E34" s="307">
        <f>Industrie!D30</f>
        <v>0.20439579298923838</v>
      </c>
      <c r="F34" s="297"/>
      <c r="G34" s="296"/>
      <c r="H34" s="296"/>
      <c r="I34" s="296"/>
      <c r="J34" s="296"/>
      <c r="K34" s="296"/>
      <c r="L34" s="296"/>
      <c r="M34" s="296"/>
      <c r="N34" s="296"/>
      <c r="O34" s="296"/>
      <c r="P34" s="296"/>
      <c r="Q34" s="296"/>
      <c r="R34" s="296"/>
    </row>
    <row r="35" spans="1:18" ht="28.8">
      <c r="A35" s="296"/>
      <c r="B35" s="306" t="s">
        <v>135</v>
      </c>
      <c r="C35" s="308" t="s">
        <v>119</v>
      </c>
      <c r="D35" s="305" t="s">
        <v>46</v>
      </c>
      <c r="E35" s="307">
        <f>Industrie!D66</f>
        <v>0.30130923392044318</v>
      </c>
      <c r="F35" s="291" t="s">
        <v>36</v>
      </c>
      <c r="G35" s="296"/>
      <c r="H35" s="296"/>
      <c r="I35" s="296"/>
      <c r="J35" s="296"/>
      <c r="K35" s="296"/>
      <c r="L35" s="296"/>
      <c r="M35" s="296"/>
      <c r="N35" s="296"/>
      <c r="O35" s="296"/>
      <c r="P35" s="296"/>
      <c r="Q35" s="296"/>
      <c r="R35" s="296"/>
    </row>
    <row r="36" spans="1:18" ht="28.8">
      <c r="A36" s="296"/>
      <c r="B36" s="306" t="s">
        <v>135</v>
      </c>
      <c r="C36" s="305" t="s">
        <v>136</v>
      </c>
      <c r="D36" s="305" t="s">
        <v>57</v>
      </c>
      <c r="E36" s="307">
        <f>Transport!D20</f>
        <v>0.4176128808784465</v>
      </c>
      <c r="F36" s="297"/>
      <c r="G36" s="296"/>
      <c r="H36" s="296"/>
      <c r="I36" s="296"/>
      <c r="J36" s="296"/>
      <c r="K36" s="296"/>
      <c r="L36" s="296"/>
      <c r="M36" s="296"/>
      <c r="N36" s="296"/>
      <c r="O36" s="296"/>
      <c r="P36" s="296"/>
      <c r="Q36" s="296"/>
      <c r="R36" s="296"/>
    </row>
    <row r="37" spans="1:18" ht="28.8">
      <c r="A37" s="296"/>
      <c r="B37" s="306" t="s">
        <v>135</v>
      </c>
      <c r="C37" s="305" t="s">
        <v>136</v>
      </c>
      <c r="D37" s="305" t="s">
        <v>60</v>
      </c>
      <c r="E37" s="307">
        <f>Transport!D63</f>
        <v>0.30993973854814783</v>
      </c>
      <c r="F37" s="297"/>
      <c r="G37" s="296"/>
      <c r="H37" s="296"/>
      <c r="I37" s="296"/>
      <c r="J37" s="296"/>
      <c r="K37" s="296"/>
      <c r="L37" s="296"/>
      <c r="M37" s="296"/>
      <c r="N37" s="296"/>
      <c r="O37" s="296"/>
      <c r="P37" s="296"/>
      <c r="Q37" s="296"/>
      <c r="R37" s="296"/>
    </row>
    <row r="38" spans="1:18" ht="28.8">
      <c r="A38" s="296"/>
      <c r="B38" s="306" t="s">
        <v>135</v>
      </c>
      <c r="C38" s="305" t="s">
        <v>137</v>
      </c>
      <c r="D38" s="305" t="s">
        <v>57</v>
      </c>
      <c r="E38" s="307">
        <f>Transport!D20</f>
        <v>0.4176128808784465</v>
      </c>
      <c r="F38" s="297"/>
      <c r="G38" s="296"/>
      <c r="H38" s="296"/>
      <c r="I38" s="296"/>
      <c r="J38" s="296"/>
      <c r="K38" s="296"/>
      <c r="L38" s="296"/>
      <c r="M38" s="296"/>
      <c r="N38" s="296"/>
      <c r="O38" s="296"/>
      <c r="P38" s="296"/>
      <c r="Q38" s="296"/>
      <c r="R38" s="296"/>
    </row>
    <row r="39" spans="1:18" ht="28.8">
      <c r="A39" s="296"/>
      <c r="B39" s="306" t="s">
        <v>135</v>
      </c>
      <c r="C39" s="305" t="s">
        <v>137</v>
      </c>
      <c r="D39" s="305" t="s">
        <v>60</v>
      </c>
      <c r="E39" s="307">
        <f>Transport!D63</f>
        <v>0.30993973854814783</v>
      </c>
      <c r="F39" s="297"/>
      <c r="G39" s="296"/>
      <c r="H39" s="296"/>
      <c r="I39" s="296"/>
      <c r="J39" s="296"/>
      <c r="K39" s="296"/>
      <c r="L39" s="296"/>
      <c r="M39" s="296"/>
      <c r="N39" s="296"/>
      <c r="O39" s="296"/>
      <c r="P39" s="296"/>
      <c r="Q39" s="296"/>
      <c r="R39" s="296"/>
    </row>
    <row r="40" spans="1:18" ht="28.8">
      <c r="A40" s="296"/>
      <c r="B40" s="306" t="s">
        <v>135</v>
      </c>
      <c r="C40" s="305" t="s">
        <v>137</v>
      </c>
      <c r="D40" s="305" t="s">
        <v>61</v>
      </c>
      <c r="E40" s="307">
        <f>Transport!D36</f>
        <v>2.7994423488030384E-2</v>
      </c>
      <c r="F40" s="297"/>
      <c r="G40" s="296"/>
      <c r="H40" s="296"/>
      <c r="I40" s="296"/>
      <c r="J40" s="296"/>
      <c r="K40" s="296"/>
      <c r="L40" s="296"/>
      <c r="M40" s="296"/>
      <c r="N40" s="296"/>
      <c r="O40" s="296"/>
      <c r="P40" s="296"/>
      <c r="Q40" s="296"/>
      <c r="R40" s="296"/>
    </row>
    <row r="41" spans="1:18" ht="28.8">
      <c r="A41" s="296"/>
      <c r="B41" s="306" t="s">
        <v>135</v>
      </c>
      <c r="C41" s="305" t="s">
        <v>138</v>
      </c>
      <c r="D41" s="305" t="s">
        <v>57</v>
      </c>
      <c r="E41" s="307">
        <f>Transport!D20</f>
        <v>0.4176128808784465</v>
      </c>
      <c r="F41" s="297"/>
      <c r="G41" s="296"/>
      <c r="H41" s="296"/>
      <c r="I41" s="296"/>
      <c r="J41" s="296"/>
      <c r="K41" s="296"/>
      <c r="L41" s="296"/>
      <c r="M41" s="296"/>
      <c r="N41" s="296"/>
      <c r="O41" s="296"/>
      <c r="P41" s="296"/>
      <c r="Q41" s="296"/>
      <c r="R41" s="296"/>
    </row>
    <row r="42" spans="1:18" ht="28.8">
      <c r="A42" s="296"/>
      <c r="B42" s="306" t="s">
        <v>135</v>
      </c>
      <c r="C42" s="305" t="s">
        <v>138</v>
      </c>
      <c r="D42" s="305" t="s">
        <v>60</v>
      </c>
      <c r="E42" s="307">
        <f>Transport!D63</f>
        <v>0.30993973854814783</v>
      </c>
      <c r="F42" s="297"/>
      <c r="G42" s="296"/>
      <c r="H42" s="296"/>
      <c r="I42" s="296"/>
      <c r="J42" s="296"/>
      <c r="K42" s="296"/>
      <c r="L42" s="296"/>
      <c r="M42" s="296"/>
      <c r="N42" s="296"/>
      <c r="O42" s="296"/>
      <c r="P42" s="296"/>
      <c r="Q42" s="296"/>
      <c r="R42" s="296"/>
    </row>
    <row r="43" spans="1:18" ht="28.8">
      <c r="A43" s="296"/>
      <c r="B43" s="306" t="s">
        <v>135</v>
      </c>
      <c r="C43" s="305" t="s">
        <v>138</v>
      </c>
      <c r="D43" s="305" t="s">
        <v>61</v>
      </c>
      <c r="E43" s="307">
        <f>Transport!D36</f>
        <v>2.7994423488030384E-2</v>
      </c>
      <c r="F43" s="297"/>
      <c r="G43" s="296"/>
      <c r="H43" s="296"/>
      <c r="I43" s="296"/>
      <c r="J43" s="296"/>
      <c r="K43" s="296"/>
      <c r="L43" s="296"/>
      <c r="M43" s="296"/>
      <c r="N43" s="296"/>
      <c r="O43" s="296"/>
      <c r="P43" s="296"/>
      <c r="Q43" s="296"/>
      <c r="R43" s="296"/>
    </row>
    <row r="44" spans="1:18" ht="28.8">
      <c r="A44" s="296"/>
      <c r="B44" s="306" t="s">
        <v>135</v>
      </c>
      <c r="C44" s="305" t="s">
        <v>139</v>
      </c>
      <c r="D44" s="308" t="s">
        <v>82</v>
      </c>
      <c r="E44" s="307">
        <f>Déchets!D10</f>
        <v>0.55010232857349328</v>
      </c>
      <c r="F44" s="297"/>
      <c r="G44" s="296"/>
      <c r="H44" s="296"/>
      <c r="I44" s="296"/>
      <c r="J44" s="296"/>
      <c r="K44" s="296"/>
      <c r="L44" s="296"/>
      <c r="M44" s="296"/>
      <c r="N44" s="296"/>
      <c r="O44" s="296"/>
      <c r="P44" s="296"/>
      <c r="Q44" s="296"/>
      <c r="R44" s="296"/>
    </row>
    <row r="45" spans="1:18" ht="28.8">
      <c r="A45" s="296"/>
      <c r="B45" s="306" t="s">
        <v>135</v>
      </c>
      <c r="C45" s="305" t="s">
        <v>139</v>
      </c>
      <c r="D45" s="305" t="s">
        <v>83</v>
      </c>
      <c r="E45" s="307">
        <f>Déchets!D14</f>
        <v>0.68867374665974523</v>
      </c>
      <c r="F45" s="297"/>
      <c r="G45" s="296"/>
      <c r="H45" s="296"/>
      <c r="I45" s="296"/>
      <c r="J45" s="296"/>
      <c r="K45" s="296"/>
      <c r="L45" s="296"/>
      <c r="M45" s="296"/>
      <c r="N45" s="296"/>
      <c r="O45" s="296"/>
      <c r="P45" s="296"/>
      <c r="Q45" s="296"/>
      <c r="R45" s="296"/>
    </row>
    <row r="46" spans="1:18" ht="28.8">
      <c r="A46" s="296"/>
      <c r="B46" s="306" t="s">
        <v>135</v>
      </c>
      <c r="C46" s="305" t="s">
        <v>139</v>
      </c>
      <c r="D46" s="305" t="s">
        <v>84</v>
      </c>
      <c r="E46" s="318">
        <f>Déchets!D18</f>
        <v>-9.9116350447240542E-2</v>
      </c>
      <c r="F46" s="297"/>
      <c r="G46" s="296"/>
      <c r="H46" s="296"/>
      <c r="I46" s="296"/>
      <c r="J46" s="296"/>
      <c r="K46" s="296"/>
      <c r="L46" s="296"/>
      <c r="M46" s="296"/>
      <c r="N46" s="296"/>
      <c r="O46" s="296"/>
      <c r="P46" s="296"/>
      <c r="Q46" s="296"/>
      <c r="R46" s="296"/>
    </row>
    <row r="47" spans="1:18" ht="28.8">
      <c r="A47" s="296"/>
      <c r="B47" s="306" t="s">
        <v>135</v>
      </c>
      <c r="C47" s="305" t="s">
        <v>139</v>
      </c>
      <c r="D47" s="305" t="s">
        <v>85</v>
      </c>
      <c r="E47" s="304">
        <f>Déchets!D22</f>
        <v>-5.9685131408808711E-2</v>
      </c>
      <c r="F47" s="297"/>
      <c r="G47" s="296"/>
      <c r="H47" s="296"/>
      <c r="I47" s="296"/>
      <c r="J47" s="296"/>
      <c r="K47" s="296"/>
      <c r="L47" s="296"/>
      <c r="M47" s="296"/>
      <c r="N47" s="296"/>
      <c r="O47" s="296"/>
      <c r="P47" s="296"/>
      <c r="Q47" s="296"/>
      <c r="R47" s="296"/>
    </row>
    <row r="48" spans="1:18" ht="28.8">
      <c r="A48" s="296"/>
      <c r="B48" s="306" t="s">
        <v>135</v>
      </c>
      <c r="C48" s="305" t="s">
        <v>139</v>
      </c>
      <c r="D48" s="305" t="s">
        <v>86</v>
      </c>
      <c r="E48" s="304">
        <f>Déchets!D26</f>
        <v>4.1635212849805425E-3</v>
      </c>
      <c r="F48" s="297"/>
      <c r="G48" s="296"/>
      <c r="H48" s="296"/>
      <c r="I48" s="296"/>
      <c r="J48" s="296"/>
      <c r="K48" s="296"/>
      <c r="L48" s="296"/>
      <c r="M48" s="296"/>
      <c r="N48" s="296"/>
      <c r="O48" s="296"/>
      <c r="P48" s="296"/>
      <c r="Q48" s="296"/>
      <c r="R48" s="296"/>
    </row>
    <row r="49" spans="1:18" ht="28.8">
      <c r="A49" s="296"/>
      <c r="B49" s="306" t="s">
        <v>50</v>
      </c>
      <c r="C49" s="305" t="s">
        <v>140</v>
      </c>
      <c r="D49" s="308" t="s">
        <v>141</v>
      </c>
      <c r="E49" s="307">
        <f>Industrie!D26</f>
        <v>0.54956167682523871</v>
      </c>
      <c r="F49" s="297"/>
      <c r="G49" s="296"/>
      <c r="H49" s="296"/>
      <c r="I49" s="296"/>
      <c r="J49" s="296"/>
      <c r="K49" s="296"/>
      <c r="L49" s="296"/>
      <c r="M49" s="296"/>
      <c r="N49" s="296"/>
      <c r="O49" s="296"/>
      <c r="P49" s="296"/>
      <c r="Q49" s="296"/>
      <c r="R49" s="296"/>
    </row>
    <row r="50" spans="1:18">
      <c r="A50" s="296"/>
      <c r="B50" s="306" t="s">
        <v>50</v>
      </c>
      <c r="C50" s="305" t="s">
        <v>142</v>
      </c>
      <c r="D50" s="308" t="s">
        <v>141</v>
      </c>
      <c r="E50" s="307">
        <f>Industrie!D26</f>
        <v>0.54956167682523871</v>
      </c>
      <c r="F50" s="297"/>
      <c r="G50" s="296"/>
      <c r="H50" s="296"/>
      <c r="I50" s="296"/>
      <c r="J50" s="296"/>
      <c r="K50" s="296"/>
      <c r="L50" s="296"/>
      <c r="M50" s="296"/>
      <c r="N50" s="296"/>
      <c r="O50" s="296"/>
      <c r="P50" s="296"/>
      <c r="Q50" s="296"/>
      <c r="R50" s="296"/>
    </row>
    <row r="51" spans="1:18" ht="43.2">
      <c r="A51" s="296"/>
      <c r="B51" s="306" t="s">
        <v>50</v>
      </c>
      <c r="C51" s="305" t="s">
        <v>129</v>
      </c>
      <c r="D51" s="308" t="s">
        <v>53</v>
      </c>
      <c r="E51" s="307">
        <f>Bâtiment!D12</f>
        <v>0.52698381185213228</v>
      </c>
      <c r="F51" s="297"/>
      <c r="G51" s="296"/>
      <c r="H51" s="296"/>
      <c r="I51" s="296"/>
      <c r="J51" s="296"/>
      <c r="K51" s="296"/>
      <c r="L51" s="296"/>
      <c r="M51" s="296"/>
      <c r="N51" s="296"/>
      <c r="O51" s="296"/>
      <c r="P51" s="296"/>
      <c r="Q51" s="296"/>
      <c r="R51" s="296"/>
    </row>
    <row r="52" spans="1:18" ht="28.8">
      <c r="A52" s="296"/>
      <c r="B52" s="306" t="s">
        <v>50</v>
      </c>
      <c r="C52" s="305" t="s">
        <v>129</v>
      </c>
      <c r="D52" s="305" t="s">
        <v>143</v>
      </c>
      <c r="E52" s="307">
        <f>Bâtiment!D20</f>
        <v>0.51784690785677023</v>
      </c>
      <c r="F52" s="297"/>
      <c r="G52" s="296"/>
      <c r="H52" s="296"/>
      <c r="I52" s="296"/>
      <c r="J52" s="296"/>
      <c r="K52" s="296"/>
      <c r="L52" s="296"/>
      <c r="M52" s="296"/>
      <c r="N52" s="296"/>
      <c r="O52" s="296"/>
      <c r="P52" s="296"/>
      <c r="Q52" s="296"/>
      <c r="R52" s="296"/>
    </row>
    <row r="53" spans="1:18" ht="28.8">
      <c r="A53" s="296"/>
      <c r="B53" s="306" t="s">
        <v>50</v>
      </c>
      <c r="C53" s="305" t="s">
        <v>129</v>
      </c>
      <c r="D53" s="305" t="s">
        <v>133</v>
      </c>
      <c r="E53" s="307">
        <f>Bâtiment!D44</f>
        <v>0.58366114603296571</v>
      </c>
      <c r="F53" s="297"/>
      <c r="G53" s="296"/>
      <c r="H53" s="296"/>
      <c r="I53" s="296"/>
      <c r="J53" s="296"/>
      <c r="K53" s="296"/>
      <c r="L53" s="296"/>
      <c r="M53" s="296"/>
      <c r="N53" s="296"/>
      <c r="O53" s="296"/>
      <c r="P53" s="296"/>
      <c r="Q53" s="296"/>
      <c r="R53" s="296"/>
    </row>
    <row r="54" spans="1:18" ht="28.8">
      <c r="A54" s="296"/>
      <c r="B54" s="306" t="s">
        <v>50</v>
      </c>
      <c r="C54" s="305" t="s">
        <v>129</v>
      </c>
      <c r="D54" s="305" t="s">
        <v>144</v>
      </c>
      <c r="E54" s="307">
        <f>Bâtiment!D71</f>
        <v>0.26046739254337958</v>
      </c>
      <c r="F54" s="297"/>
      <c r="G54" s="296"/>
      <c r="H54" s="296"/>
      <c r="I54" s="296"/>
      <c r="J54" s="296"/>
      <c r="K54" s="296"/>
      <c r="L54" s="296"/>
      <c r="M54" s="296"/>
      <c r="N54" s="296"/>
      <c r="O54" s="296"/>
      <c r="P54" s="296"/>
      <c r="Q54" s="296"/>
      <c r="R54" s="296"/>
    </row>
    <row r="55" spans="1:18" ht="28.8">
      <c r="A55" s="296"/>
      <c r="B55" s="306" t="s">
        <v>145</v>
      </c>
      <c r="C55" s="305" t="s">
        <v>117</v>
      </c>
      <c r="D55" s="305" t="s">
        <v>63</v>
      </c>
      <c r="E55" s="307">
        <f>Transport!D51</f>
        <v>0.22841315091602599</v>
      </c>
      <c r="F55" s="297"/>
      <c r="G55" s="296"/>
      <c r="H55" s="296"/>
      <c r="I55" s="296"/>
      <c r="J55" s="296"/>
      <c r="K55" s="296"/>
      <c r="L55" s="296"/>
      <c r="M55" s="296"/>
      <c r="N55" s="296"/>
      <c r="O55" s="296"/>
      <c r="P55" s="296"/>
      <c r="Q55" s="296"/>
      <c r="R55" s="296"/>
    </row>
    <row r="56" spans="1:18" ht="28.8">
      <c r="A56" s="296"/>
      <c r="B56" s="306" t="s">
        <v>145</v>
      </c>
      <c r="C56" s="305" t="s">
        <v>117</v>
      </c>
      <c r="D56" s="305" t="s">
        <v>64</v>
      </c>
      <c r="E56" s="307">
        <f>Transport!D55</f>
        <v>0.32833912169802348</v>
      </c>
      <c r="F56" s="297"/>
      <c r="G56" s="296"/>
      <c r="H56" s="296"/>
      <c r="I56" s="296"/>
      <c r="J56" s="296"/>
      <c r="K56" s="296"/>
      <c r="L56" s="296"/>
      <c r="M56" s="296"/>
      <c r="N56" s="296"/>
      <c r="O56" s="296"/>
      <c r="P56" s="296"/>
      <c r="Q56" s="296"/>
      <c r="R56" s="296"/>
    </row>
    <row r="57" spans="1:18" ht="28.8">
      <c r="A57" s="296"/>
      <c r="B57" s="306" t="s">
        <v>145</v>
      </c>
      <c r="C57" s="305" t="s">
        <v>117</v>
      </c>
      <c r="D57" s="305" t="s">
        <v>65</v>
      </c>
      <c r="E57" s="318">
        <f>Transport!D59</f>
        <v>8.6214219472463216E-2</v>
      </c>
      <c r="F57" s="297"/>
      <c r="G57" s="296"/>
      <c r="H57" s="296"/>
      <c r="I57" s="296"/>
      <c r="J57" s="296"/>
      <c r="K57" s="296"/>
      <c r="L57" s="296"/>
      <c r="M57" s="296"/>
      <c r="N57" s="296"/>
      <c r="O57" s="296"/>
      <c r="P57" s="296"/>
      <c r="Q57" s="296"/>
      <c r="R57" s="296"/>
    </row>
    <row r="58" spans="1:18" ht="28.8">
      <c r="A58" s="296"/>
      <c r="B58" s="306" t="s">
        <v>145</v>
      </c>
      <c r="C58" s="305" t="s">
        <v>117</v>
      </c>
      <c r="D58" s="305" t="s">
        <v>66</v>
      </c>
      <c r="E58" s="304">
        <f>Transport!D67</f>
        <v>0.18834561394405824</v>
      </c>
      <c r="F58" s="297"/>
      <c r="G58" s="296"/>
      <c r="H58" s="296"/>
      <c r="I58" s="296"/>
      <c r="J58" s="296"/>
      <c r="K58" s="296"/>
      <c r="L58" s="296"/>
      <c r="M58" s="296"/>
      <c r="N58" s="296"/>
      <c r="O58" s="296"/>
      <c r="P58" s="296"/>
      <c r="Q58" s="296"/>
      <c r="R58" s="296"/>
    </row>
    <row r="59" spans="1:18" ht="28.8">
      <c r="A59" s="296"/>
      <c r="B59" s="306" t="s">
        <v>145</v>
      </c>
      <c r="C59" s="305" t="s">
        <v>118</v>
      </c>
      <c r="D59" s="305" t="s">
        <v>63</v>
      </c>
      <c r="E59" s="307">
        <f>Transport!D51</f>
        <v>0.22841315091602599</v>
      </c>
      <c r="F59" s="297"/>
      <c r="G59" s="296"/>
      <c r="H59" s="296"/>
      <c r="I59" s="296"/>
      <c r="J59" s="296"/>
      <c r="K59" s="296"/>
      <c r="L59" s="296"/>
      <c r="M59" s="296"/>
      <c r="N59" s="296"/>
      <c r="O59" s="296"/>
      <c r="P59" s="296"/>
      <c r="Q59" s="296"/>
      <c r="R59" s="296"/>
    </row>
    <row r="60" spans="1:18" ht="28.8">
      <c r="A60" s="296"/>
      <c r="B60" s="306" t="s">
        <v>145</v>
      </c>
      <c r="C60" s="305" t="s">
        <v>118</v>
      </c>
      <c r="D60" s="305" t="s">
        <v>64</v>
      </c>
      <c r="E60" s="307">
        <f>Transport!D55</f>
        <v>0.32833912169802348</v>
      </c>
      <c r="F60" s="297"/>
      <c r="G60" s="296"/>
      <c r="H60" s="296"/>
      <c r="I60" s="296"/>
      <c r="J60" s="296"/>
      <c r="K60" s="296"/>
      <c r="L60" s="296"/>
      <c r="M60" s="296"/>
      <c r="N60" s="296"/>
      <c r="O60" s="296"/>
      <c r="P60" s="296"/>
      <c r="Q60" s="296"/>
      <c r="R60" s="296"/>
    </row>
    <row r="61" spans="1:18" ht="28.8">
      <c r="A61" s="296"/>
      <c r="B61" s="306" t="s">
        <v>145</v>
      </c>
      <c r="C61" s="305" t="s">
        <v>118</v>
      </c>
      <c r="D61" s="305" t="s">
        <v>65</v>
      </c>
      <c r="E61" s="318">
        <f>Transport!D59</f>
        <v>8.6214219472463216E-2</v>
      </c>
      <c r="F61" s="297"/>
      <c r="G61" s="296"/>
      <c r="H61" s="296"/>
      <c r="I61" s="296"/>
      <c r="J61" s="296"/>
      <c r="K61" s="296"/>
      <c r="L61" s="296"/>
      <c r="M61" s="296"/>
      <c r="N61" s="296"/>
      <c r="O61" s="296"/>
      <c r="P61" s="296"/>
      <c r="Q61" s="296"/>
      <c r="R61" s="296"/>
    </row>
    <row r="62" spans="1:18" ht="28.8">
      <c r="A62" s="296"/>
      <c r="B62" s="306" t="s">
        <v>145</v>
      </c>
      <c r="C62" s="305" t="s">
        <v>118</v>
      </c>
      <c r="D62" s="305" t="s">
        <v>66</v>
      </c>
      <c r="E62" s="304">
        <f>Transport!D67</f>
        <v>0.18834561394405824</v>
      </c>
      <c r="F62" s="297"/>
      <c r="G62" s="296"/>
      <c r="H62" s="296"/>
      <c r="I62" s="296"/>
      <c r="J62" s="296"/>
      <c r="K62" s="296"/>
      <c r="L62" s="296"/>
      <c r="M62" s="296"/>
      <c r="N62" s="296"/>
      <c r="O62" s="296"/>
      <c r="P62" s="296"/>
      <c r="Q62" s="296"/>
      <c r="R62" s="296"/>
    </row>
    <row r="63" spans="1:18" ht="28.8">
      <c r="A63" s="296"/>
      <c r="B63" s="306" t="s">
        <v>145</v>
      </c>
      <c r="C63" s="305" t="s">
        <v>119</v>
      </c>
      <c r="D63" s="305" t="s">
        <v>46</v>
      </c>
      <c r="E63" s="307">
        <f>Industrie!D66</f>
        <v>0.30130923392044318</v>
      </c>
      <c r="F63" s="297"/>
      <c r="G63" s="296"/>
      <c r="H63" s="296"/>
      <c r="I63" s="296"/>
      <c r="J63" s="296"/>
      <c r="K63" s="296"/>
      <c r="L63" s="296"/>
      <c r="M63" s="296"/>
      <c r="N63" s="296"/>
      <c r="O63" s="296"/>
      <c r="P63" s="296"/>
      <c r="Q63" s="296"/>
      <c r="R63" s="296"/>
    </row>
    <row r="64" spans="1:18" ht="28.8">
      <c r="A64" s="296"/>
      <c r="B64" s="306" t="s">
        <v>145</v>
      </c>
      <c r="C64" s="305" t="s">
        <v>119</v>
      </c>
      <c r="D64" s="317" t="s">
        <v>146</v>
      </c>
      <c r="E64" s="311">
        <f>Agriculture!D10</f>
        <v>0.15378082929961623</v>
      </c>
      <c r="F64" s="297"/>
      <c r="G64" s="296"/>
      <c r="H64" s="296"/>
      <c r="I64" s="296"/>
      <c r="J64" s="296"/>
      <c r="K64" s="296"/>
      <c r="L64" s="296"/>
      <c r="M64" s="296"/>
      <c r="N64" s="296"/>
      <c r="O64" s="296"/>
      <c r="P64" s="296"/>
      <c r="Q64" s="296"/>
      <c r="R64" s="296"/>
    </row>
    <row r="65" spans="1:18" ht="28.8">
      <c r="A65" s="296"/>
      <c r="B65" s="306" t="s">
        <v>145</v>
      </c>
      <c r="C65" s="305" t="s">
        <v>119</v>
      </c>
      <c r="D65" s="305" t="s">
        <v>147</v>
      </c>
      <c r="E65" s="307">
        <f>Agriculture!D39</f>
        <v>0.17485049474662517</v>
      </c>
      <c r="F65" s="297"/>
      <c r="G65" s="296"/>
      <c r="H65" s="296"/>
      <c r="I65" s="296"/>
      <c r="J65" s="296"/>
      <c r="K65" s="296"/>
      <c r="L65" s="296"/>
      <c r="M65" s="296"/>
      <c r="N65" s="296"/>
      <c r="O65" s="296"/>
      <c r="P65" s="296"/>
      <c r="Q65" s="296"/>
      <c r="R65" s="296"/>
    </row>
    <row r="66" spans="1:18" ht="28.8">
      <c r="A66" s="296"/>
      <c r="B66" s="306" t="s">
        <v>145</v>
      </c>
      <c r="C66" s="305" t="s">
        <v>119</v>
      </c>
      <c r="D66" s="315" t="s">
        <v>75</v>
      </c>
      <c r="E66" s="311">
        <f>Agriculture!D17</f>
        <v>0.1658751030255341</v>
      </c>
      <c r="F66" s="297"/>
      <c r="G66" s="296"/>
      <c r="H66" s="296"/>
      <c r="I66" s="296"/>
      <c r="J66" s="296"/>
      <c r="K66" s="296"/>
      <c r="L66" s="296"/>
      <c r="M66" s="296"/>
      <c r="N66" s="296"/>
      <c r="O66" s="296"/>
      <c r="P66" s="296"/>
      <c r="Q66" s="296"/>
      <c r="R66" s="296"/>
    </row>
    <row r="67" spans="1:18" ht="28.8">
      <c r="A67" s="296"/>
      <c r="B67" s="306" t="s">
        <v>145</v>
      </c>
      <c r="C67" s="305" t="s">
        <v>119</v>
      </c>
      <c r="D67" s="315" t="s">
        <v>76</v>
      </c>
      <c r="E67" s="311">
        <f>Agriculture!D21</f>
        <v>0.16565672178982249</v>
      </c>
      <c r="F67" s="297"/>
      <c r="G67" s="296"/>
      <c r="H67" s="296"/>
      <c r="I67" s="296"/>
      <c r="J67" s="296"/>
      <c r="K67" s="296"/>
      <c r="L67" s="296"/>
      <c r="M67" s="296"/>
      <c r="N67" s="296"/>
      <c r="O67" s="296"/>
      <c r="P67" s="296"/>
      <c r="Q67" s="296"/>
      <c r="R67" s="296"/>
    </row>
    <row r="68" spans="1:18" ht="28.8">
      <c r="A68" s="296"/>
      <c r="B68" s="306" t="s">
        <v>145</v>
      </c>
      <c r="C68" s="305" t="s">
        <v>119</v>
      </c>
      <c r="D68" s="315" t="s">
        <v>78</v>
      </c>
      <c r="E68" s="316">
        <f>Agriculture!D25</f>
        <v>0.26829138204445691</v>
      </c>
      <c r="F68" s="297"/>
      <c r="G68" s="296"/>
      <c r="H68" s="296"/>
      <c r="I68" s="296"/>
      <c r="J68" s="296"/>
      <c r="K68" s="296"/>
      <c r="L68" s="296"/>
      <c r="M68" s="296"/>
      <c r="N68" s="296"/>
      <c r="O68" s="296"/>
      <c r="P68" s="296"/>
      <c r="Q68" s="296"/>
      <c r="R68" s="296"/>
    </row>
    <row r="69" spans="1:18" ht="28.8">
      <c r="A69" s="296"/>
      <c r="B69" s="306" t="s">
        <v>145</v>
      </c>
      <c r="C69" s="305" t="s">
        <v>119</v>
      </c>
      <c r="D69" s="315" t="s">
        <v>79</v>
      </c>
      <c r="E69" s="314">
        <f>Agriculture!D29</f>
        <v>0.22908211825282621</v>
      </c>
      <c r="F69" s="297"/>
      <c r="G69" s="296"/>
      <c r="H69" s="296"/>
      <c r="I69" s="296"/>
      <c r="J69" s="296"/>
      <c r="K69" s="296"/>
      <c r="L69" s="296"/>
      <c r="M69" s="296"/>
      <c r="N69" s="296"/>
      <c r="O69" s="296"/>
      <c r="P69" s="296"/>
      <c r="Q69" s="296"/>
      <c r="R69" s="296"/>
    </row>
    <row r="70" spans="1:18" ht="28.8">
      <c r="A70" s="296"/>
      <c r="B70" s="306" t="s">
        <v>145</v>
      </c>
      <c r="C70" s="305" t="s">
        <v>134</v>
      </c>
      <c r="D70" s="308" t="s">
        <v>82</v>
      </c>
      <c r="E70" s="307">
        <f>Déchets!D10</f>
        <v>0.55010232857349328</v>
      </c>
      <c r="F70" s="297"/>
      <c r="G70" s="296"/>
      <c r="H70" s="296"/>
      <c r="I70" s="296"/>
      <c r="J70" s="296"/>
      <c r="K70" s="296"/>
      <c r="L70" s="296"/>
      <c r="M70" s="296"/>
      <c r="N70" s="296"/>
      <c r="O70" s="296"/>
      <c r="P70" s="296"/>
      <c r="Q70" s="296"/>
      <c r="R70" s="296"/>
    </row>
    <row r="71" spans="1:18" ht="28.8">
      <c r="A71" s="296"/>
      <c r="B71" s="306" t="s">
        <v>81</v>
      </c>
      <c r="C71" s="305" t="s">
        <v>117</v>
      </c>
      <c r="D71" s="305" t="s">
        <v>64</v>
      </c>
      <c r="E71" s="307">
        <f>Transport!D55</f>
        <v>0.32833912169802348</v>
      </c>
      <c r="F71" s="297"/>
      <c r="G71" s="296"/>
      <c r="H71" s="296"/>
      <c r="I71" s="296"/>
      <c r="J71" s="296"/>
      <c r="K71" s="296"/>
      <c r="L71" s="296"/>
      <c r="M71" s="296"/>
      <c r="N71" s="296"/>
      <c r="O71" s="296"/>
      <c r="P71" s="296"/>
      <c r="Q71" s="296"/>
      <c r="R71" s="296"/>
    </row>
    <row r="72" spans="1:18" ht="41.4" customHeight="1">
      <c r="A72" s="296"/>
      <c r="B72" s="306" t="s">
        <v>89</v>
      </c>
      <c r="C72" s="305" t="s">
        <v>119</v>
      </c>
      <c r="D72" s="313" t="s">
        <v>148</v>
      </c>
      <c r="E72" s="312" t="s">
        <v>149</v>
      </c>
      <c r="F72" s="299" t="s">
        <v>150</v>
      </c>
      <c r="G72" s="296"/>
      <c r="H72" s="296"/>
      <c r="I72" s="296"/>
      <c r="J72" s="296"/>
      <c r="K72" s="296"/>
      <c r="L72" s="296"/>
      <c r="M72" s="296"/>
      <c r="N72" s="296"/>
      <c r="O72" s="296"/>
      <c r="P72" s="296"/>
      <c r="Q72" s="296"/>
      <c r="R72" s="296"/>
    </row>
    <row r="73" spans="1:18" ht="43.2">
      <c r="A73" s="296"/>
      <c r="B73" s="306" t="s">
        <v>151</v>
      </c>
      <c r="C73" s="305" t="s">
        <v>119</v>
      </c>
      <c r="D73" s="313" t="s">
        <v>152</v>
      </c>
      <c r="E73" s="312" t="s">
        <v>149</v>
      </c>
      <c r="F73" s="299" t="s">
        <v>150</v>
      </c>
      <c r="G73" s="296"/>
      <c r="H73" s="296"/>
      <c r="I73" s="296"/>
      <c r="J73" s="296"/>
      <c r="K73" s="296"/>
      <c r="L73" s="296"/>
      <c r="M73" s="296"/>
      <c r="N73" s="296"/>
      <c r="O73" s="296"/>
      <c r="P73" s="296"/>
      <c r="Q73" s="296"/>
      <c r="R73" s="296"/>
    </row>
    <row r="74" spans="1:18" ht="43.2">
      <c r="A74" s="296"/>
      <c r="B74" s="306" t="s">
        <v>153</v>
      </c>
      <c r="C74" s="305" t="s">
        <v>119</v>
      </c>
      <c r="D74" s="313" t="s">
        <v>152</v>
      </c>
      <c r="E74" s="312" t="s">
        <v>149</v>
      </c>
      <c r="F74" s="299" t="s">
        <v>150</v>
      </c>
      <c r="G74" s="296"/>
      <c r="H74" s="296"/>
      <c r="I74" s="296"/>
      <c r="J74" s="296"/>
      <c r="K74" s="296"/>
      <c r="L74" s="296"/>
      <c r="M74" s="296"/>
      <c r="N74" s="296"/>
      <c r="O74" s="296"/>
      <c r="P74" s="296"/>
      <c r="Q74" s="296"/>
      <c r="R74" s="296"/>
    </row>
    <row r="75" spans="1:18" ht="39.6" customHeight="1">
      <c r="A75" s="296"/>
      <c r="B75" s="306" t="s">
        <v>154</v>
      </c>
      <c r="C75" s="305" t="s">
        <v>119</v>
      </c>
      <c r="D75" s="313" t="s">
        <v>155</v>
      </c>
      <c r="E75" s="312" t="s">
        <v>149</v>
      </c>
      <c r="F75" s="299" t="s">
        <v>150</v>
      </c>
      <c r="G75" s="296"/>
      <c r="H75" s="296"/>
      <c r="I75" s="296"/>
      <c r="J75" s="296"/>
      <c r="K75" s="296"/>
      <c r="L75" s="296"/>
      <c r="M75" s="296"/>
      <c r="N75" s="296"/>
      <c r="O75" s="296"/>
      <c r="P75" s="296"/>
      <c r="Q75" s="296"/>
      <c r="R75" s="296"/>
    </row>
    <row r="76" spans="1:18" ht="43.2">
      <c r="A76" s="296"/>
      <c r="B76" s="306" t="s">
        <v>89</v>
      </c>
      <c r="C76" s="305" t="s">
        <v>129</v>
      </c>
      <c r="D76" s="305" t="s">
        <v>90</v>
      </c>
      <c r="E76" s="311">
        <f>Energie!D14</f>
        <v>0.6015937401171787</v>
      </c>
      <c r="F76" s="297"/>
      <c r="G76" s="296"/>
      <c r="H76" s="296"/>
      <c r="I76" s="296"/>
      <c r="J76" s="296"/>
      <c r="K76" s="296"/>
      <c r="L76" s="296"/>
      <c r="M76" s="296"/>
      <c r="N76" s="296"/>
      <c r="O76" s="296"/>
      <c r="P76" s="296"/>
      <c r="Q76" s="296"/>
      <c r="R76" s="296"/>
    </row>
    <row r="77" spans="1:18" ht="43.2">
      <c r="A77" s="296"/>
      <c r="B77" s="306" t="s">
        <v>154</v>
      </c>
      <c r="C77" s="305" t="s">
        <v>129</v>
      </c>
      <c r="D77" s="310" t="s">
        <v>156</v>
      </c>
      <c r="E77" s="309">
        <f>Energie!D55</f>
        <v>0.31338658398295272</v>
      </c>
      <c r="F77" s="299" t="s">
        <v>157</v>
      </c>
      <c r="G77" s="296"/>
      <c r="H77" s="296"/>
      <c r="I77" s="296"/>
      <c r="J77" s="296"/>
      <c r="K77" s="296"/>
      <c r="L77" s="296"/>
      <c r="M77" s="296"/>
      <c r="N77" s="296"/>
      <c r="O77" s="296"/>
      <c r="P77" s="296"/>
      <c r="Q77" s="296"/>
      <c r="R77" s="296"/>
    </row>
    <row r="78" spans="1:18" ht="43.2">
      <c r="A78" s="296"/>
      <c r="B78" s="306" t="s">
        <v>158</v>
      </c>
      <c r="C78" s="305" t="s">
        <v>129</v>
      </c>
      <c r="D78" s="310" t="s">
        <v>159</v>
      </c>
      <c r="E78" s="309">
        <f>Energie!D51</f>
        <v>0.40763684161673897</v>
      </c>
      <c r="F78" s="299" t="s">
        <v>157</v>
      </c>
      <c r="G78" s="296"/>
      <c r="H78" s="296"/>
      <c r="I78" s="296"/>
      <c r="J78" s="296"/>
      <c r="K78" s="296"/>
      <c r="L78" s="296"/>
      <c r="M78" s="296"/>
      <c r="N78" s="296"/>
      <c r="O78" s="296"/>
      <c r="P78" s="296"/>
      <c r="Q78" s="296"/>
      <c r="R78" s="296"/>
    </row>
    <row r="79" spans="1:18" ht="28.8">
      <c r="A79" s="296"/>
      <c r="B79" s="306" t="s">
        <v>160</v>
      </c>
      <c r="C79" s="308" t="s">
        <v>117</v>
      </c>
      <c r="D79" s="305" t="s">
        <v>64</v>
      </c>
      <c r="E79" s="309">
        <f>Transport!D55</f>
        <v>0.32833912169802348</v>
      </c>
      <c r="F79" s="297"/>
      <c r="G79" s="296"/>
      <c r="H79" s="296"/>
      <c r="I79" s="296"/>
      <c r="J79" s="296"/>
      <c r="K79" s="296"/>
      <c r="L79" s="296"/>
      <c r="M79" s="296"/>
      <c r="N79" s="296"/>
      <c r="O79" s="296"/>
      <c r="P79" s="296"/>
      <c r="Q79" s="296"/>
      <c r="R79" s="296"/>
    </row>
    <row r="80" spans="1:18" ht="43.2">
      <c r="A80" s="296"/>
      <c r="B80" s="306" t="s">
        <v>160</v>
      </c>
      <c r="C80" s="305" t="s">
        <v>129</v>
      </c>
      <c r="D80" s="308" t="s">
        <v>53</v>
      </c>
      <c r="E80" s="307">
        <f>Bâtiment!D12</f>
        <v>0.52698381185213228</v>
      </c>
      <c r="F80" s="297"/>
      <c r="G80" s="296"/>
      <c r="H80" s="296"/>
      <c r="I80" s="296"/>
      <c r="J80" s="296"/>
      <c r="K80" s="296"/>
      <c r="L80" s="296"/>
      <c r="M80" s="296"/>
      <c r="N80" s="296"/>
      <c r="O80" s="296"/>
      <c r="P80" s="296"/>
      <c r="Q80" s="296"/>
      <c r="R80" s="296"/>
    </row>
    <row r="81" spans="1:18" ht="28.8">
      <c r="A81" s="296"/>
      <c r="B81" s="306" t="s">
        <v>160</v>
      </c>
      <c r="C81" s="305" t="s">
        <v>129</v>
      </c>
      <c r="D81" s="305" t="s">
        <v>143</v>
      </c>
      <c r="E81" s="307">
        <f>Bâtiment!D20</f>
        <v>0.51784690785677023</v>
      </c>
      <c r="F81" s="297"/>
      <c r="G81" s="296"/>
      <c r="H81" s="296"/>
      <c r="I81" s="296"/>
      <c r="J81" s="296"/>
      <c r="K81" s="296"/>
      <c r="L81" s="296"/>
      <c r="M81" s="296"/>
      <c r="N81" s="296"/>
      <c r="O81" s="296"/>
      <c r="P81" s="296"/>
      <c r="Q81" s="296"/>
      <c r="R81" s="296"/>
    </row>
    <row r="82" spans="1:18" ht="28.8">
      <c r="A82" s="296"/>
      <c r="B82" s="306" t="s">
        <v>160</v>
      </c>
      <c r="C82" s="305" t="s">
        <v>129</v>
      </c>
      <c r="D82" s="305" t="s">
        <v>133</v>
      </c>
      <c r="E82" s="307">
        <f>Bâtiment!D44</f>
        <v>0.58366114603296571</v>
      </c>
      <c r="F82" s="297"/>
      <c r="G82" s="296"/>
      <c r="H82" s="296"/>
      <c r="I82" s="296"/>
      <c r="J82" s="296"/>
      <c r="K82" s="296"/>
      <c r="L82" s="296"/>
      <c r="M82" s="296"/>
      <c r="N82" s="296"/>
      <c r="O82" s="296"/>
      <c r="P82" s="296"/>
      <c r="Q82" s="296"/>
      <c r="R82" s="296"/>
    </row>
    <row r="83" spans="1:18" ht="28.8">
      <c r="A83" s="296"/>
      <c r="B83" s="306" t="s">
        <v>160</v>
      </c>
      <c r="C83" s="305" t="s">
        <v>129</v>
      </c>
      <c r="D83" s="305" t="s">
        <v>144</v>
      </c>
      <c r="E83" s="307">
        <f>Bâtiment!D71</f>
        <v>0.26046739254337958</v>
      </c>
      <c r="F83" s="297"/>
      <c r="G83" s="296"/>
      <c r="H83" s="296"/>
      <c r="I83" s="296"/>
      <c r="J83" s="296"/>
      <c r="K83" s="296"/>
      <c r="L83" s="296"/>
      <c r="M83" s="296"/>
      <c r="N83" s="296"/>
      <c r="O83" s="296"/>
      <c r="P83" s="296"/>
      <c r="Q83" s="296"/>
      <c r="R83" s="296"/>
    </row>
    <row r="84" spans="1:18" ht="28.8">
      <c r="A84" s="296"/>
      <c r="B84" s="306" t="s">
        <v>160</v>
      </c>
      <c r="C84" s="305" t="s">
        <v>81</v>
      </c>
      <c r="D84" s="308" t="s">
        <v>82</v>
      </c>
      <c r="E84" s="307">
        <f>Déchets!D10</f>
        <v>0.55010232857349328</v>
      </c>
      <c r="F84" s="297"/>
      <c r="G84" s="296"/>
      <c r="H84" s="296"/>
      <c r="I84" s="296"/>
      <c r="J84" s="296"/>
      <c r="K84" s="296"/>
      <c r="L84" s="296"/>
      <c r="M84" s="296"/>
      <c r="N84" s="296"/>
      <c r="O84" s="296"/>
      <c r="P84" s="296"/>
      <c r="Q84" s="296"/>
      <c r="R84" s="296"/>
    </row>
    <row r="85" spans="1:18" ht="28.8">
      <c r="A85" s="296"/>
      <c r="B85" s="306" t="s">
        <v>160</v>
      </c>
      <c r="C85" s="305" t="s">
        <v>81</v>
      </c>
      <c r="D85" s="305" t="s">
        <v>83</v>
      </c>
      <c r="E85" s="307">
        <f>Déchets!D14</f>
        <v>0.68867374665974523</v>
      </c>
      <c r="F85" s="297"/>
      <c r="G85" s="296"/>
      <c r="H85" s="296"/>
      <c r="I85" s="296"/>
      <c r="J85" s="296"/>
      <c r="K85" s="296"/>
      <c r="L85" s="296"/>
      <c r="M85" s="296"/>
      <c r="N85" s="296"/>
      <c r="O85" s="296"/>
      <c r="P85" s="296"/>
      <c r="Q85" s="296"/>
      <c r="R85" s="296"/>
    </row>
    <row r="86" spans="1:18" ht="28.8">
      <c r="A86" s="296"/>
      <c r="B86" s="306" t="s">
        <v>160</v>
      </c>
      <c r="C86" s="305" t="s">
        <v>81</v>
      </c>
      <c r="D86" s="305" t="s">
        <v>85</v>
      </c>
      <c r="E86" s="304">
        <f>Déchets!D22</f>
        <v>-5.9685131408808711E-2</v>
      </c>
      <c r="F86" s="297"/>
      <c r="G86" s="296"/>
      <c r="H86" s="296"/>
      <c r="I86" s="296"/>
      <c r="J86" s="296"/>
      <c r="K86" s="296"/>
      <c r="L86" s="296"/>
      <c r="M86" s="296"/>
      <c r="N86" s="296"/>
      <c r="O86" s="296"/>
      <c r="P86" s="296"/>
      <c r="Q86" s="296"/>
      <c r="R86" s="296"/>
    </row>
    <row r="87" spans="1:18" ht="28.8">
      <c r="A87" s="296"/>
      <c r="B87" s="303" t="s">
        <v>161</v>
      </c>
      <c r="C87" s="302" t="s">
        <v>162</v>
      </c>
      <c r="D87" s="302" t="s">
        <v>107</v>
      </c>
      <c r="E87" s="301">
        <f>1-VLOOKUP("TOTAL national hors UTCATF",'Résultats détaillés GES'!$A$6:$AP$20,MATCH('Choix années'!C5,'Résultats détaillés GES'!$A$6:$AP$6),FALSE)/VLOOKUP("TOTAL national hors UTCATF",'Résultats détaillés GES'!$A$6:$AP$20,MATCH('Choix années'!C4,'Résultats détaillés GES'!$A$6:$AP$6),FALSE)</f>
        <v>0.37029835109967146</v>
      </c>
      <c r="F87" s="300"/>
      <c r="G87" s="296"/>
      <c r="H87" s="296"/>
      <c r="I87" s="296"/>
      <c r="J87" s="296"/>
      <c r="K87" s="296"/>
      <c r="L87" s="296"/>
      <c r="M87" s="296"/>
      <c r="N87" s="296"/>
      <c r="O87" s="296"/>
      <c r="P87" s="296"/>
      <c r="Q87" s="296"/>
      <c r="R87" s="296"/>
    </row>
    <row r="88" spans="1:18">
      <c r="A88" s="296"/>
      <c r="B88" s="296"/>
      <c r="C88" s="296"/>
      <c r="D88" s="296"/>
      <c r="E88" s="296"/>
      <c r="F88" s="297"/>
      <c r="G88" s="296"/>
      <c r="H88" s="296"/>
      <c r="I88" s="296"/>
      <c r="J88" s="296"/>
      <c r="K88" s="296"/>
      <c r="L88" s="296"/>
      <c r="M88" s="296"/>
      <c r="N88" s="296"/>
      <c r="O88" s="296"/>
      <c r="P88" s="296"/>
      <c r="Q88" s="296"/>
      <c r="R88" s="296"/>
    </row>
    <row r="89" spans="1:18">
      <c r="A89" s="296"/>
      <c r="B89" s="296"/>
      <c r="C89" s="296"/>
      <c r="D89" s="296"/>
      <c r="E89" s="296"/>
      <c r="F89" s="297"/>
      <c r="G89" s="296"/>
      <c r="H89" s="296"/>
      <c r="I89" s="296"/>
      <c r="J89" s="296"/>
      <c r="K89" s="296"/>
      <c r="L89" s="296"/>
      <c r="M89" s="296"/>
      <c r="N89" s="296"/>
      <c r="O89" s="296"/>
      <c r="P89" s="296"/>
      <c r="Q89" s="296"/>
      <c r="R89" s="296"/>
    </row>
    <row r="90" spans="1:18">
      <c r="A90" s="296"/>
      <c r="B90" s="296"/>
      <c r="C90" s="296"/>
      <c r="D90" s="296"/>
      <c r="E90" s="296"/>
      <c r="F90" s="297"/>
      <c r="G90" s="296"/>
      <c r="H90" s="296"/>
      <c r="I90" s="296"/>
      <c r="J90" s="296"/>
      <c r="K90" s="296"/>
      <c r="L90" s="296"/>
      <c r="M90" s="296"/>
      <c r="N90" s="296"/>
      <c r="O90" s="296"/>
      <c r="P90" s="296"/>
      <c r="Q90" s="296"/>
      <c r="R90" s="296"/>
    </row>
    <row r="91" spans="1:18">
      <c r="A91" s="296"/>
      <c r="B91" s="296"/>
      <c r="C91" s="296"/>
      <c r="D91" s="296"/>
      <c r="E91" s="296"/>
      <c r="F91" s="297"/>
      <c r="G91" s="299"/>
      <c r="H91" s="296"/>
      <c r="I91" s="296"/>
      <c r="J91" s="296"/>
      <c r="K91" s="296"/>
      <c r="L91" s="296"/>
      <c r="M91" s="296"/>
      <c r="N91" s="296"/>
      <c r="O91" s="296"/>
      <c r="P91" s="296"/>
      <c r="Q91" s="296"/>
      <c r="R91" s="296"/>
    </row>
    <row r="92" spans="1:18">
      <c r="A92" s="296"/>
      <c r="B92" s="296"/>
      <c r="C92" s="296"/>
      <c r="D92" s="296"/>
      <c r="E92" s="296"/>
      <c r="F92" s="297"/>
      <c r="G92" s="299"/>
      <c r="H92" s="296"/>
      <c r="I92" s="296"/>
      <c r="J92" s="296"/>
      <c r="K92" s="296"/>
      <c r="L92" s="296"/>
      <c r="M92" s="296"/>
      <c r="N92" s="296"/>
      <c r="O92" s="296"/>
      <c r="P92" s="296"/>
      <c r="Q92" s="296"/>
      <c r="R92" s="296"/>
    </row>
    <row r="93" spans="1:18">
      <c r="A93" s="296"/>
      <c r="B93" s="296"/>
      <c r="C93" s="296"/>
      <c r="D93" s="296"/>
      <c r="E93" s="296"/>
      <c r="F93" s="297"/>
      <c r="G93" s="297"/>
      <c r="H93" s="296"/>
      <c r="I93" s="296"/>
      <c r="J93" s="298"/>
      <c r="K93" s="296"/>
      <c r="L93" s="296"/>
      <c r="M93" s="296"/>
      <c r="N93" s="296"/>
      <c r="O93" s="296"/>
      <c r="P93" s="296"/>
      <c r="Q93" s="296"/>
      <c r="R93" s="296"/>
    </row>
    <row r="94" spans="1:18">
      <c r="A94" s="296"/>
      <c r="B94" s="296"/>
      <c r="C94" s="296"/>
      <c r="D94" s="296"/>
      <c r="E94" s="296"/>
      <c r="F94" s="297"/>
      <c r="G94" s="296"/>
      <c r="H94" s="296"/>
      <c r="I94" s="296"/>
      <c r="J94" s="296"/>
      <c r="K94" s="296"/>
      <c r="L94" s="296"/>
      <c r="M94" s="296"/>
      <c r="N94" s="296"/>
      <c r="O94" s="296"/>
      <c r="P94" s="296"/>
      <c r="Q94" s="296"/>
      <c r="R94" s="296"/>
    </row>
    <row r="95" spans="1:18">
      <c r="A95" s="296"/>
      <c r="B95" s="296"/>
      <c r="C95" s="296"/>
      <c r="D95" s="296"/>
      <c r="E95" s="296"/>
      <c r="F95" s="297"/>
      <c r="G95" s="296"/>
      <c r="H95" s="296"/>
      <c r="I95" s="296"/>
      <c r="J95" s="296"/>
      <c r="K95" s="296"/>
      <c r="L95" s="296"/>
      <c r="M95" s="296"/>
      <c r="N95" s="296"/>
      <c r="O95" s="296"/>
      <c r="P95" s="296"/>
      <c r="Q95" s="296"/>
      <c r="R95" s="296"/>
    </row>
    <row r="96" spans="1:18">
      <c r="A96" s="296"/>
      <c r="B96" s="296"/>
      <c r="C96" s="296"/>
      <c r="D96" s="296"/>
      <c r="E96" s="296"/>
      <c r="F96" s="297"/>
      <c r="G96" s="296"/>
      <c r="H96" s="296"/>
      <c r="I96" s="296"/>
      <c r="J96" s="296"/>
      <c r="K96" s="296"/>
      <c r="L96" s="296"/>
      <c r="M96" s="296"/>
      <c r="N96" s="296"/>
      <c r="O96" s="296"/>
      <c r="P96" s="296"/>
      <c r="Q96" s="296"/>
      <c r="R96" s="296"/>
    </row>
    <row r="97" spans="1:18">
      <c r="A97" s="296"/>
      <c r="B97" s="296"/>
      <c r="C97" s="296"/>
      <c r="D97" s="296"/>
      <c r="E97" s="296"/>
      <c r="F97" s="297"/>
      <c r="G97" s="296"/>
      <c r="H97" s="296"/>
      <c r="I97" s="296"/>
      <c r="J97" s="296"/>
      <c r="K97" s="296"/>
      <c r="L97" s="296"/>
      <c r="M97" s="296"/>
      <c r="N97" s="296"/>
      <c r="O97" s="296"/>
      <c r="P97" s="296"/>
      <c r="Q97" s="296"/>
      <c r="R97" s="296"/>
    </row>
    <row r="98" spans="1:18">
      <c r="A98" s="296"/>
      <c r="B98" s="296"/>
      <c r="C98" s="296"/>
      <c r="D98" s="296"/>
      <c r="E98" s="296"/>
      <c r="F98" s="297"/>
      <c r="G98" s="296"/>
      <c r="H98" s="296"/>
      <c r="I98" s="296"/>
      <c r="J98" s="296"/>
      <c r="K98" s="296"/>
      <c r="L98" s="296"/>
      <c r="M98" s="296"/>
      <c r="N98" s="296"/>
      <c r="O98" s="296"/>
      <c r="P98" s="296"/>
      <c r="Q98" s="296"/>
      <c r="R98" s="296"/>
    </row>
    <row r="99" spans="1:18">
      <c r="A99" s="296"/>
      <c r="B99" s="296"/>
      <c r="C99" s="296"/>
      <c r="D99" s="296"/>
      <c r="E99" s="296"/>
      <c r="F99" s="297"/>
      <c r="G99" s="296"/>
      <c r="H99" s="296"/>
      <c r="I99" s="296"/>
      <c r="J99" s="296"/>
      <c r="K99" s="296"/>
      <c r="L99" s="296"/>
      <c r="M99" s="296"/>
      <c r="N99" s="296"/>
      <c r="O99" s="296"/>
      <c r="P99" s="296"/>
      <c r="Q99" s="296"/>
      <c r="R99" s="296"/>
    </row>
    <row r="100" spans="1:18">
      <c r="A100" s="296"/>
      <c r="B100" s="296"/>
      <c r="C100" s="296"/>
      <c r="D100" s="296"/>
      <c r="E100" s="296"/>
      <c r="F100" s="297"/>
      <c r="G100" s="296"/>
      <c r="H100" s="296"/>
      <c r="I100" s="296"/>
      <c r="J100" s="296"/>
      <c r="K100" s="296"/>
      <c r="L100" s="296"/>
      <c r="M100" s="296"/>
      <c r="N100" s="296"/>
      <c r="O100" s="296"/>
      <c r="P100" s="296"/>
      <c r="Q100" s="296"/>
      <c r="R100" s="296"/>
    </row>
    <row r="101" spans="1:18">
      <c r="A101" s="296"/>
      <c r="B101" s="296"/>
      <c r="C101" s="296"/>
      <c r="D101" s="296"/>
      <c r="E101" s="296"/>
      <c r="F101" s="297"/>
      <c r="G101" s="296"/>
      <c r="H101" s="296"/>
      <c r="I101" s="296"/>
      <c r="J101" s="296"/>
      <c r="K101" s="296"/>
      <c r="L101" s="296"/>
      <c r="M101" s="296"/>
      <c r="N101" s="296"/>
      <c r="O101" s="296"/>
      <c r="P101" s="296"/>
      <c r="Q101" s="296"/>
      <c r="R101" s="296"/>
    </row>
    <row r="102" spans="1:18">
      <c r="A102" s="296"/>
      <c r="B102" s="296"/>
      <c r="C102" s="296"/>
      <c r="D102" s="296"/>
      <c r="E102" s="296"/>
      <c r="F102" s="297"/>
      <c r="G102" s="296"/>
      <c r="H102" s="296"/>
      <c r="I102" s="296"/>
      <c r="J102" s="296"/>
      <c r="K102" s="296"/>
      <c r="L102" s="296"/>
      <c r="M102" s="296"/>
      <c r="N102" s="296"/>
      <c r="O102" s="296"/>
      <c r="P102" s="296"/>
      <c r="Q102" s="296"/>
      <c r="R102" s="296"/>
    </row>
    <row r="103" spans="1:18">
      <c r="A103" s="296"/>
      <c r="B103" s="296"/>
      <c r="C103" s="296"/>
      <c r="D103" s="296"/>
      <c r="E103" s="296"/>
      <c r="F103" s="297"/>
      <c r="G103" s="296"/>
      <c r="H103" s="296"/>
      <c r="I103" s="296"/>
      <c r="J103" s="296"/>
      <c r="K103" s="296"/>
      <c r="L103" s="296"/>
      <c r="M103" s="296"/>
      <c r="N103" s="296"/>
      <c r="O103" s="296"/>
      <c r="P103" s="296"/>
      <c r="Q103" s="296"/>
      <c r="R103" s="296"/>
    </row>
    <row r="104" spans="1:18">
      <c r="A104" s="296"/>
      <c r="B104" s="296"/>
      <c r="C104" s="296"/>
      <c r="D104" s="296"/>
      <c r="E104" s="296"/>
      <c r="F104" s="297"/>
      <c r="G104" s="296"/>
      <c r="H104" s="296"/>
      <c r="I104" s="296"/>
      <c r="J104" s="296"/>
      <c r="K104" s="296"/>
      <c r="L104" s="296"/>
      <c r="M104" s="296"/>
      <c r="N104" s="296"/>
      <c r="O104" s="296"/>
      <c r="P104" s="296"/>
      <c r="Q104" s="296"/>
      <c r="R104" s="296"/>
    </row>
    <row r="105" spans="1:18">
      <c r="A105" s="296"/>
      <c r="B105" s="296"/>
      <c r="C105" s="296"/>
      <c r="D105" s="296"/>
      <c r="E105" s="296"/>
      <c r="F105" s="297"/>
      <c r="G105" s="296"/>
      <c r="H105" s="296"/>
      <c r="I105" s="296"/>
      <c r="J105" s="296"/>
      <c r="K105" s="296"/>
      <c r="L105" s="296"/>
      <c r="M105" s="296"/>
      <c r="N105" s="296"/>
      <c r="O105" s="296"/>
      <c r="P105" s="296"/>
      <c r="Q105" s="296"/>
      <c r="R105" s="296"/>
    </row>
    <row r="106" spans="1:18">
      <c r="A106" s="296"/>
      <c r="B106" s="296"/>
      <c r="C106" s="296"/>
      <c r="D106" s="296"/>
      <c r="E106" s="296"/>
      <c r="F106" s="297"/>
      <c r="G106" s="296"/>
      <c r="H106" s="296"/>
      <c r="I106" s="296"/>
      <c r="J106" s="296"/>
      <c r="K106" s="296"/>
      <c r="L106" s="296"/>
      <c r="M106" s="296"/>
      <c r="N106" s="296"/>
      <c r="O106" s="296"/>
      <c r="P106" s="296"/>
      <c r="Q106" s="296"/>
      <c r="R106" s="296"/>
    </row>
    <row r="107" spans="1:18">
      <c r="A107" s="296"/>
      <c r="B107" s="296"/>
      <c r="C107" s="296"/>
      <c r="D107" s="296"/>
      <c r="E107" s="296"/>
      <c r="F107" s="297"/>
      <c r="G107" s="296"/>
      <c r="H107" s="296"/>
      <c r="I107" s="296"/>
      <c r="J107" s="296"/>
      <c r="K107" s="296"/>
      <c r="L107" s="296"/>
      <c r="M107" s="296"/>
      <c r="N107" s="296"/>
      <c r="O107" s="296"/>
      <c r="P107" s="296"/>
      <c r="Q107" s="296"/>
      <c r="R107" s="296"/>
    </row>
    <row r="108" spans="1:18">
      <c r="A108" s="296"/>
      <c r="B108" s="296"/>
      <c r="C108" s="296"/>
      <c r="D108" s="296"/>
      <c r="E108" s="296"/>
      <c r="F108" s="297"/>
      <c r="G108" s="296"/>
      <c r="H108" s="296"/>
      <c r="I108" s="296"/>
      <c r="J108" s="296"/>
      <c r="K108" s="296"/>
      <c r="L108" s="296"/>
      <c r="M108" s="296"/>
      <c r="N108" s="296"/>
      <c r="O108" s="296"/>
      <c r="P108" s="296"/>
      <c r="Q108" s="296"/>
      <c r="R108" s="296"/>
    </row>
    <row r="109" spans="1:18">
      <c r="A109" s="296"/>
      <c r="B109" s="296"/>
      <c r="C109" s="296"/>
      <c r="D109" s="296"/>
      <c r="E109" s="296"/>
      <c r="F109" s="297"/>
      <c r="G109" s="296"/>
      <c r="H109" s="296"/>
      <c r="I109" s="296"/>
      <c r="J109" s="296"/>
      <c r="K109" s="296"/>
      <c r="L109" s="296"/>
      <c r="M109" s="296"/>
      <c r="N109" s="296"/>
      <c r="O109" s="296"/>
      <c r="P109" s="296"/>
      <c r="Q109" s="296"/>
      <c r="R109" s="296"/>
    </row>
    <row r="110" spans="1:18">
      <c r="A110" s="296"/>
      <c r="B110" s="296"/>
      <c r="C110" s="296"/>
      <c r="D110" s="296"/>
      <c r="E110" s="296"/>
      <c r="F110" s="297"/>
      <c r="G110" s="296"/>
      <c r="H110" s="296"/>
      <c r="I110" s="296"/>
      <c r="J110" s="296"/>
      <c r="K110" s="296"/>
      <c r="L110" s="296"/>
      <c r="M110" s="296"/>
      <c r="N110" s="296"/>
      <c r="O110" s="296"/>
      <c r="P110" s="296"/>
      <c r="Q110" s="296"/>
      <c r="R110" s="296"/>
    </row>
    <row r="111" spans="1:18">
      <c r="A111" s="296"/>
      <c r="B111" s="296"/>
      <c r="C111" s="296"/>
      <c r="D111" s="296"/>
      <c r="E111" s="296"/>
      <c r="F111" s="297"/>
      <c r="G111" s="296"/>
      <c r="H111" s="296"/>
      <c r="I111" s="296"/>
      <c r="J111" s="296"/>
      <c r="K111" s="296"/>
      <c r="L111" s="296"/>
      <c r="M111" s="296"/>
      <c r="N111" s="296"/>
      <c r="O111" s="296"/>
      <c r="P111" s="296"/>
      <c r="Q111" s="296"/>
      <c r="R111" s="296"/>
    </row>
    <row r="112" spans="1:18">
      <c r="A112" s="296"/>
      <c r="B112" s="296"/>
      <c r="C112" s="296"/>
      <c r="D112" s="296"/>
      <c r="E112" s="296"/>
      <c r="F112" s="297"/>
      <c r="G112" s="296"/>
      <c r="H112" s="296"/>
      <c r="I112" s="296"/>
      <c r="J112" s="296"/>
      <c r="K112" s="296"/>
      <c r="L112" s="296"/>
      <c r="M112" s="296"/>
      <c r="N112" s="296"/>
      <c r="O112" s="296"/>
      <c r="P112" s="296"/>
      <c r="Q112" s="296"/>
      <c r="R112" s="296"/>
    </row>
    <row r="113" spans="1:18">
      <c r="A113" s="296"/>
      <c r="B113" s="296"/>
      <c r="C113" s="296"/>
      <c r="D113" s="296"/>
      <c r="E113" s="296"/>
      <c r="F113" s="297"/>
      <c r="G113" s="296"/>
      <c r="H113" s="296"/>
      <c r="I113" s="296"/>
      <c r="J113" s="296"/>
      <c r="K113" s="296"/>
      <c r="L113" s="296"/>
      <c r="M113" s="296"/>
      <c r="N113" s="296"/>
      <c r="O113" s="296"/>
      <c r="P113" s="296"/>
      <c r="Q113" s="296"/>
      <c r="R113" s="296"/>
    </row>
    <row r="114" spans="1:18">
      <c r="A114" s="296"/>
      <c r="B114" s="296"/>
      <c r="C114" s="296"/>
      <c r="D114" s="296"/>
      <c r="E114" s="296"/>
      <c r="F114" s="297"/>
      <c r="G114" s="296"/>
      <c r="H114" s="296"/>
      <c r="I114" s="296"/>
      <c r="J114" s="296"/>
      <c r="K114" s="296"/>
      <c r="L114" s="296"/>
      <c r="M114" s="296"/>
      <c r="N114" s="296"/>
      <c r="O114" s="296"/>
      <c r="P114" s="296"/>
      <c r="Q114" s="296"/>
      <c r="R114" s="296"/>
    </row>
    <row r="115" spans="1:18">
      <c r="A115" s="296"/>
      <c r="B115" s="296"/>
      <c r="C115" s="296"/>
      <c r="D115" s="296"/>
      <c r="E115" s="296"/>
      <c r="F115" s="297"/>
      <c r="G115" s="296"/>
      <c r="H115" s="296"/>
      <c r="I115" s="296"/>
      <c r="J115" s="296"/>
      <c r="K115" s="296"/>
      <c r="L115" s="296"/>
      <c r="M115" s="296"/>
      <c r="N115" s="296"/>
      <c r="O115" s="296"/>
      <c r="P115" s="296"/>
      <c r="Q115" s="296"/>
      <c r="R115" s="296"/>
    </row>
    <row r="116" spans="1:18">
      <c r="A116" s="296"/>
      <c r="B116" s="296"/>
      <c r="C116" s="296"/>
      <c r="D116" s="296"/>
      <c r="E116" s="296"/>
      <c r="F116" s="297"/>
      <c r="G116" s="296"/>
      <c r="H116" s="296"/>
      <c r="I116" s="296"/>
      <c r="J116" s="296"/>
      <c r="K116" s="296"/>
      <c r="L116" s="296"/>
      <c r="M116" s="296"/>
      <c r="N116" s="296"/>
      <c r="O116" s="296"/>
      <c r="P116" s="296"/>
      <c r="Q116" s="296"/>
      <c r="R116" s="296"/>
    </row>
    <row r="117" spans="1:18">
      <c r="A117" s="296"/>
      <c r="B117" s="296"/>
      <c r="C117" s="296"/>
      <c r="D117" s="296"/>
      <c r="E117" s="296"/>
      <c r="F117" s="297"/>
      <c r="G117" s="296"/>
      <c r="H117" s="296"/>
      <c r="I117" s="296"/>
      <c r="J117" s="296"/>
      <c r="K117" s="296"/>
      <c r="L117" s="296"/>
      <c r="M117" s="296"/>
      <c r="N117" s="296"/>
      <c r="O117" s="296"/>
      <c r="P117" s="296"/>
      <c r="Q117" s="296"/>
      <c r="R117" s="296"/>
    </row>
    <row r="118" spans="1:18">
      <c r="A118" s="296"/>
      <c r="B118" s="296"/>
      <c r="C118" s="296"/>
      <c r="D118" s="296"/>
      <c r="E118" s="296"/>
      <c r="F118" s="297"/>
      <c r="G118" s="296"/>
      <c r="H118" s="296"/>
      <c r="I118" s="296"/>
      <c r="J118" s="296"/>
      <c r="K118" s="296"/>
      <c r="L118" s="296"/>
      <c r="M118" s="296"/>
      <c r="N118" s="296"/>
      <c r="O118" s="296"/>
      <c r="P118" s="296"/>
      <c r="Q118" s="296"/>
      <c r="R118" s="296"/>
    </row>
    <row r="119" spans="1:18">
      <c r="A119" s="296"/>
      <c r="B119" s="296"/>
      <c r="C119" s="296"/>
      <c r="D119" s="296"/>
      <c r="E119" s="296"/>
      <c r="F119" s="297"/>
      <c r="G119" s="296"/>
      <c r="H119" s="296"/>
      <c r="I119" s="296"/>
      <c r="J119" s="296"/>
      <c r="K119" s="296"/>
      <c r="L119" s="296"/>
      <c r="M119" s="296"/>
      <c r="N119" s="296"/>
      <c r="O119" s="296"/>
      <c r="P119" s="296"/>
      <c r="Q119" s="296"/>
      <c r="R119" s="296"/>
    </row>
    <row r="120" spans="1:18">
      <c r="A120" s="296"/>
      <c r="B120" s="296"/>
      <c r="C120" s="296"/>
      <c r="D120" s="296"/>
      <c r="E120" s="296"/>
      <c r="F120" s="297"/>
      <c r="G120" s="296"/>
      <c r="H120" s="296"/>
      <c r="I120" s="296"/>
      <c r="J120" s="296"/>
      <c r="K120" s="296"/>
      <c r="L120" s="296"/>
      <c r="M120" s="296"/>
      <c r="N120" s="296"/>
      <c r="O120" s="296"/>
      <c r="P120" s="296"/>
      <c r="Q120" s="296"/>
      <c r="R120" s="296"/>
    </row>
    <row r="121" spans="1:18">
      <c r="A121" s="296"/>
      <c r="B121" s="296"/>
      <c r="C121" s="296"/>
      <c r="D121" s="296"/>
      <c r="E121" s="296"/>
      <c r="F121" s="297"/>
      <c r="G121" s="296"/>
      <c r="H121" s="296"/>
      <c r="I121" s="296"/>
      <c r="J121" s="296"/>
      <c r="K121" s="296"/>
      <c r="L121" s="296"/>
      <c r="M121" s="296"/>
      <c r="N121" s="296"/>
      <c r="O121" s="296"/>
      <c r="P121" s="296"/>
      <c r="Q121" s="296"/>
      <c r="R121" s="296"/>
    </row>
    <row r="122" spans="1:18">
      <c r="A122" s="296"/>
      <c r="B122" s="296"/>
      <c r="C122" s="296"/>
      <c r="D122" s="296"/>
      <c r="E122" s="296"/>
      <c r="F122" s="297"/>
      <c r="G122" s="296"/>
      <c r="H122" s="296"/>
      <c r="I122" s="296"/>
      <c r="J122" s="296"/>
      <c r="K122" s="296"/>
      <c r="L122" s="296"/>
      <c r="M122" s="296"/>
      <c r="N122" s="296"/>
      <c r="O122" s="296"/>
      <c r="P122" s="296"/>
      <c r="Q122" s="296"/>
      <c r="R122" s="296"/>
    </row>
    <row r="123" spans="1:18">
      <c r="A123" s="296"/>
      <c r="B123" s="296"/>
      <c r="C123" s="296"/>
      <c r="D123" s="296"/>
      <c r="E123" s="296"/>
      <c r="F123" s="297"/>
      <c r="G123" s="296"/>
      <c r="H123" s="296"/>
      <c r="I123" s="296"/>
      <c r="J123" s="296"/>
      <c r="K123" s="296"/>
      <c r="L123" s="296"/>
      <c r="M123" s="296"/>
      <c r="N123" s="296"/>
      <c r="O123" s="296"/>
      <c r="P123" s="296"/>
      <c r="Q123" s="296"/>
      <c r="R123" s="296"/>
    </row>
    <row r="124" spans="1:18">
      <c r="A124" s="296"/>
      <c r="B124" s="296"/>
      <c r="C124" s="296"/>
      <c r="D124" s="296"/>
      <c r="E124" s="296"/>
      <c r="F124" s="297"/>
      <c r="G124" s="296"/>
      <c r="H124" s="296"/>
      <c r="I124" s="296"/>
      <c r="J124" s="296"/>
      <c r="K124" s="296"/>
      <c r="L124" s="296"/>
      <c r="M124" s="296"/>
      <c r="N124" s="296"/>
      <c r="O124" s="296"/>
      <c r="P124" s="296"/>
      <c r="Q124" s="296"/>
      <c r="R124" s="296"/>
    </row>
    <row r="125" spans="1:18">
      <c r="A125" s="296"/>
      <c r="B125" s="296"/>
      <c r="C125" s="296"/>
      <c r="D125" s="296"/>
      <c r="E125" s="296"/>
      <c r="F125" s="297"/>
      <c r="G125" s="296"/>
      <c r="H125" s="296"/>
      <c r="I125" s="296"/>
      <c r="J125" s="296"/>
      <c r="K125" s="296"/>
      <c r="L125" s="296"/>
      <c r="M125" s="296"/>
      <c r="N125" s="296"/>
      <c r="O125" s="296"/>
      <c r="P125" s="296"/>
      <c r="Q125" s="296"/>
      <c r="R125" s="296"/>
    </row>
    <row r="126" spans="1:18">
      <c r="A126" s="296"/>
      <c r="B126" s="296"/>
      <c r="C126" s="296"/>
      <c r="D126" s="296"/>
      <c r="E126" s="296"/>
      <c r="F126" s="297"/>
      <c r="G126" s="296"/>
      <c r="H126" s="296"/>
      <c r="I126" s="296"/>
      <c r="J126" s="296"/>
      <c r="K126" s="296"/>
      <c r="L126" s="296"/>
      <c r="M126" s="296"/>
      <c r="N126" s="296"/>
      <c r="O126" s="296"/>
      <c r="P126" s="296"/>
      <c r="Q126" s="296"/>
      <c r="R126" s="296"/>
    </row>
    <row r="127" spans="1:18">
      <c r="A127" s="296"/>
      <c r="B127" s="296"/>
      <c r="C127" s="296"/>
      <c r="D127" s="296"/>
      <c r="E127" s="296"/>
      <c r="F127" s="297"/>
      <c r="G127" s="296"/>
      <c r="H127" s="296"/>
      <c r="I127" s="296"/>
      <c r="J127" s="296"/>
      <c r="K127" s="296"/>
      <c r="L127" s="296"/>
      <c r="M127" s="296"/>
      <c r="N127" s="296"/>
      <c r="O127" s="296"/>
      <c r="P127" s="296"/>
      <c r="Q127" s="296"/>
      <c r="R127" s="296"/>
    </row>
    <row r="128" spans="1:18">
      <c r="A128" s="296"/>
      <c r="B128" s="296"/>
      <c r="C128" s="296"/>
      <c r="D128" s="296"/>
      <c r="E128" s="296"/>
      <c r="F128" s="297"/>
      <c r="G128" s="296"/>
      <c r="H128" s="296"/>
      <c r="I128" s="296"/>
      <c r="J128" s="296"/>
      <c r="K128" s="296"/>
      <c r="L128" s="296"/>
      <c r="M128" s="296"/>
      <c r="N128" s="296"/>
      <c r="O128" s="296"/>
      <c r="P128" s="296"/>
      <c r="Q128" s="296"/>
      <c r="R128" s="296"/>
    </row>
    <row r="129" spans="1:18">
      <c r="A129" s="296"/>
      <c r="B129" s="296"/>
      <c r="C129" s="296"/>
      <c r="D129" s="296"/>
      <c r="E129" s="296"/>
      <c r="F129" s="297"/>
      <c r="G129" s="296"/>
      <c r="H129" s="296"/>
      <c r="I129" s="296"/>
      <c r="J129" s="296"/>
      <c r="K129" s="296"/>
      <c r="L129" s="296"/>
      <c r="M129" s="296"/>
      <c r="N129" s="296"/>
      <c r="O129" s="296"/>
      <c r="P129" s="296"/>
      <c r="Q129" s="296"/>
      <c r="R129" s="296"/>
    </row>
    <row r="130" spans="1:18">
      <c r="A130" s="296"/>
      <c r="B130" s="296"/>
      <c r="C130" s="296"/>
      <c r="D130" s="296"/>
      <c r="E130" s="296"/>
      <c r="F130" s="297"/>
      <c r="G130" s="296"/>
      <c r="H130" s="296"/>
      <c r="I130" s="296"/>
      <c r="J130" s="296"/>
      <c r="K130" s="296"/>
      <c r="L130" s="296"/>
      <c r="M130" s="296"/>
      <c r="N130" s="296"/>
      <c r="O130" s="296"/>
      <c r="P130" s="296"/>
      <c r="Q130" s="296"/>
      <c r="R130" s="296"/>
    </row>
    <row r="131" spans="1:18">
      <c r="A131" s="296"/>
      <c r="B131" s="296"/>
      <c r="C131" s="296"/>
      <c r="D131" s="296"/>
      <c r="E131" s="296"/>
      <c r="F131" s="297"/>
      <c r="G131" s="296"/>
      <c r="H131" s="296"/>
      <c r="I131" s="296"/>
      <c r="J131" s="296"/>
      <c r="K131" s="296"/>
      <c r="L131" s="296"/>
      <c r="M131" s="296"/>
      <c r="N131" s="296"/>
      <c r="O131" s="296"/>
      <c r="P131" s="296"/>
      <c r="Q131" s="296"/>
      <c r="R131" s="296"/>
    </row>
    <row r="132" spans="1:18">
      <c r="A132" s="296"/>
      <c r="B132" s="296"/>
      <c r="C132" s="296"/>
      <c r="D132" s="296"/>
      <c r="E132" s="296"/>
      <c r="F132" s="297"/>
      <c r="G132" s="296"/>
      <c r="H132" s="296"/>
      <c r="I132" s="296"/>
      <c r="J132" s="296"/>
      <c r="K132" s="296"/>
      <c r="L132" s="296"/>
      <c r="M132" s="296"/>
      <c r="N132" s="296"/>
      <c r="O132" s="296"/>
      <c r="P132" s="296"/>
      <c r="Q132" s="296"/>
      <c r="R132" s="296"/>
    </row>
    <row r="133" spans="1:18">
      <c r="A133" s="296"/>
      <c r="B133" s="296"/>
      <c r="C133" s="296"/>
      <c r="D133" s="296"/>
      <c r="E133" s="296"/>
      <c r="F133" s="297"/>
      <c r="G133" s="296"/>
      <c r="H133" s="296"/>
      <c r="I133" s="296"/>
      <c r="J133" s="296"/>
      <c r="K133" s="296"/>
      <c r="L133" s="296"/>
      <c r="M133" s="296"/>
      <c r="N133" s="296"/>
      <c r="O133" s="296"/>
      <c r="P133" s="296"/>
      <c r="Q133" s="296"/>
      <c r="R133" s="296"/>
    </row>
    <row r="134" spans="1:18">
      <c r="A134" s="296"/>
      <c r="B134" s="296"/>
      <c r="C134" s="296"/>
      <c r="D134" s="296"/>
      <c r="E134" s="296"/>
      <c r="F134" s="297"/>
      <c r="G134" s="296"/>
      <c r="H134" s="296"/>
      <c r="I134" s="296"/>
      <c r="J134" s="296"/>
      <c r="K134" s="296"/>
      <c r="L134" s="296"/>
      <c r="M134" s="296"/>
      <c r="N134" s="296"/>
      <c r="O134" s="296"/>
      <c r="P134" s="296"/>
      <c r="Q134" s="296"/>
      <c r="R134" s="296"/>
    </row>
    <row r="135" spans="1:18">
      <c r="A135" s="296"/>
      <c r="B135" s="296"/>
      <c r="C135" s="296"/>
      <c r="D135" s="296"/>
      <c r="E135" s="296"/>
      <c r="F135" s="297"/>
      <c r="G135" s="296"/>
      <c r="H135" s="296"/>
      <c r="I135" s="296"/>
      <c r="J135" s="296"/>
      <c r="K135" s="296"/>
      <c r="L135" s="296"/>
      <c r="M135" s="296"/>
      <c r="N135" s="296"/>
      <c r="O135" s="296"/>
      <c r="P135" s="296"/>
      <c r="Q135" s="296"/>
      <c r="R135" s="296"/>
    </row>
    <row r="136" spans="1:18">
      <c r="A136" s="296"/>
      <c r="B136" s="296"/>
      <c r="C136" s="296"/>
      <c r="D136" s="296"/>
      <c r="E136" s="296"/>
      <c r="F136" s="297"/>
      <c r="G136" s="296"/>
      <c r="H136" s="296"/>
      <c r="I136" s="296"/>
      <c r="J136" s="296"/>
      <c r="K136" s="296"/>
      <c r="L136" s="296"/>
      <c r="M136" s="296"/>
      <c r="N136" s="296"/>
      <c r="O136" s="296"/>
      <c r="P136" s="296"/>
      <c r="Q136" s="296"/>
      <c r="R136" s="296"/>
    </row>
    <row r="137" spans="1:18">
      <c r="A137" s="296"/>
      <c r="B137" s="296"/>
      <c r="C137" s="296"/>
      <c r="D137" s="296"/>
      <c r="E137" s="296"/>
      <c r="F137" s="297"/>
      <c r="G137" s="296"/>
      <c r="H137" s="296"/>
      <c r="I137" s="296"/>
      <c r="J137" s="296"/>
      <c r="K137" s="296"/>
      <c r="L137" s="296"/>
      <c r="M137" s="296"/>
      <c r="N137" s="296"/>
      <c r="O137" s="296"/>
      <c r="P137" s="296"/>
      <c r="Q137" s="296"/>
      <c r="R137" s="296"/>
    </row>
    <row r="138" spans="1:18">
      <c r="A138" s="296"/>
      <c r="B138" s="296"/>
      <c r="C138" s="296"/>
      <c r="D138" s="296"/>
      <c r="E138" s="296"/>
      <c r="F138" s="297"/>
      <c r="G138" s="296"/>
      <c r="H138" s="296"/>
      <c r="I138" s="296"/>
      <c r="J138" s="296"/>
      <c r="K138" s="296"/>
      <c r="L138" s="296"/>
      <c r="M138" s="296"/>
      <c r="N138" s="296"/>
      <c r="O138" s="296"/>
      <c r="P138" s="296"/>
      <c r="Q138" s="296"/>
      <c r="R138" s="296"/>
    </row>
    <row r="139" spans="1:18">
      <c r="A139" s="296"/>
      <c r="B139" s="296"/>
      <c r="C139" s="296"/>
      <c r="D139" s="296"/>
      <c r="E139" s="296"/>
      <c r="F139" s="297"/>
      <c r="G139" s="296"/>
      <c r="H139" s="296"/>
      <c r="I139" s="296"/>
      <c r="J139" s="296"/>
      <c r="K139" s="296"/>
      <c r="L139" s="296"/>
      <c r="M139" s="296"/>
      <c r="N139" s="296"/>
      <c r="O139" s="296"/>
      <c r="P139" s="296"/>
      <c r="Q139" s="296"/>
      <c r="R139" s="296"/>
    </row>
    <row r="140" spans="1:18">
      <c r="A140" s="296"/>
      <c r="B140" s="296"/>
      <c r="C140" s="296"/>
      <c r="D140" s="296"/>
      <c r="E140" s="296"/>
      <c r="F140" s="297"/>
      <c r="G140" s="296"/>
      <c r="H140" s="296"/>
      <c r="I140" s="296"/>
      <c r="J140" s="296"/>
      <c r="K140" s="296"/>
      <c r="L140" s="296"/>
      <c r="M140" s="296"/>
      <c r="N140" s="296"/>
      <c r="O140" s="296"/>
      <c r="P140" s="296"/>
      <c r="Q140" s="296"/>
      <c r="R140" s="296"/>
    </row>
    <row r="141" spans="1:18">
      <c r="A141" s="296"/>
      <c r="B141" s="296"/>
      <c r="C141" s="296"/>
      <c r="D141" s="296"/>
      <c r="E141" s="296"/>
      <c r="F141" s="297"/>
      <c r="G141" s="296"/>
      <c r="H141" s="296"/>
      <c r="I141" s="296"/>
      <c r="J141" s="296"/>
      <c r="K141" s="296"/>
      <c r="L141" s="296"/>
      <c r="M141" s="296"/>
      <c r="N141" s="296"/>
      <c r="O141" s="296"/>
      <c r="P141" s="296"/>
      <c r="Q141" s="296"/>
      <c r="R141" s="296"/>
    </row>
    <row r="142" spans="1:18">
      <c r="A142" s="296"/>
      <c r="B142" s="296"/>
      <c r="C142" s="296"/>
      <c r="D142" s="296"/>
      <c r="E142" s="296"/>
      <c r="F142" s="297"/>
      <c r="G142" s="296"/>
      <c r="H142" s="296"/>
      <c r="I142" s="296"/>
      <c r="J142" s="296"/>
      <c r="K142" s="296"/>
      <c r="L142" s="296"/>
      <c r="M142" s="296"/>
      <c r="N142" s="296"/>
      <c r="O142" s="296"/>
      <c r="P142" s="296"/>
      <c r="Q142" s="296"/>
      <c r="R142" s="296"/>
    </row>
    <row r="143" spans="1:18">
      <c r="A143" s="296"/>
      <c r="B143" s="296"/>
      <c r="C143" s="296"/>
      <c r="D143" s="296"/>
      <c r="E143" s="296"/>
      <c r="F143" s="297"/>
      <c r="G143" s="296"/>
      <c r="H143" s="296"/>
      <c r="I143" s="296"/>
      <c r="J143" s="296"/>
      <c r="K143" s="296"/>
      <c r="L143" s="296"/>
      <c r="M143" s="296"/>
      <c r="N143" s="296"/>
      <c r="O143" s="296"/>
      <c r="P143" s="296"/>
      <c r="Q143" s="296"/>
      <c r="R143" s="296"/>
    </row>
    <row r="144" spans="1:18">
      <c r="A144" s="296"/>
      <c r="B144" s="296"/>
      <c r="C144" s="296"/>
      <c r="D144" s="296"/>
      <c r="E144" s="296"/>
      <c r="F144" s="297"/>
      <c r="G144" s="296"/>
      <c r="H144" s="296"/>
      <c r="I144" s="296"/>
      <c r="J144" s="296"/>
      <c r="K144" s="296"/>
      <c r="L144" s="296"/>
      <c r="M144" s="296"/>
      <c r="N144" s="296"/>
      <c r="O144" s="296"/>
      <c r="P144" s="296"/>
      <c r="Q144" s="296"/>
      <c r="R144" s="296"/>
    </row>
    <row r="145" spans="1:18">
      <c r="A145" s="296"/>
      <c r="B145" s="296"/>
      <c r="C145" s="296"/>
      <c r="D145" s="296"/>
      <c r="E145" s="296"/>
      <c r="F145" s="297"/>
      <c r="G145" s="296"/>
      <c r="H145" s="296"/>
      <c r="I145" s="296"/>
      <c r="J145" s="296"/>
      <c r="K145" s="296"/>
      <c r="L145" s="296"/>
      <c r="M145" s="296"/>
      <c r="N145" s="296"/>
      <c r="O145" s="296"/>
      <c r="P145" s="296"/>
      <c r="Q145" s="296"/>
      <c r="R145" s="296"/>
    </row>
    <row r="146" spans="1:18">
      <c r="A146" s="296"/>
      <c r="B146" s="296"/>
      <c r="C146" s="296"/>
      <c r="D146" s="296"/>
      <c r="E146" s="296"/>
      <c r="F146" s="297"/>
      <c r="G146" s="296"/>
      <c r="H146" s="296"/>
      <c r="I146" s="296"/>
      <c r="J146" s="296"/>
      <c r="K146" s="296"/>
      <c r="L146" s="296"/>
      <c r="M146" s="296"/>
      <c r="N146" s="296"/>
      <c r="O146" s="296"/>
      <c r="P146" s="296"/>
      <c r="Q146" s="296"/>
      <c r="R146" s="296"/>
    </row>
    <row r="147" spans="1:18">
      <c r="A147" s="296"/>
      <c r="B147" s="296"/>
      <c r="C147" s="296"/>
      <c r="D147" s="296"/>
      <c r="E147" s="296"/>
      <c r="F147" s="297"/>
      <c r="G147" s="296"/>
      <c r="H147" s="296"/>
      <c r="I147" s="296"/>
      <c r="J147" s="296"/>
      <c r="K147" s="296"/>
      <c r="L147" s="296"/>
      <c r="M147" s="296"/>
      <c r="N147" s="296"/>
      <c r="O147" s="296"/>
      <c r="P147" s="296"/>
      <c r="Q147" s="296"/>
      <c r="R147" s="296"/>
    </row>
    <row r="148" spans="1:18">
      <c r="A148" s="296"/>
      <c r="B148" s="296"/>
      <c r="C148" s="296"/>
      <c r="D148" s="296"/>
      <c r="E148" s="296"/>
      <c r="F148" s="297"/>
      <c r="G148" s="296"/>
      <c r="H148" s="296"/>
      <c r="I148" s="296"/>
      <c r="J148" s="296"/>
      <c r="K148" s="296"/>
      <c r="L148" s="296"/>
      <c r="M148" s="296"/>
      <c r="N148" s="296"/>
      <c r="O148" s="296"/>
      <c r="P148" s="296"/>
      <c r="Q148" s="296"/>
      <c r="R148" s="296"/>
    </row>
    <row r="149" spans="1:18">
      <c r="A149" s="296"/>
      <c r="B149" s="296"/>
      <c r="C149" s="296"/>
      <c r="D149" s="296"/>
      <c r="E149" s="296"/>
      <c r="F149" s="297"/>
      <c r="G149" s="296"/>
      <c r="H149" s="296"/>
      <c r="I149" s="296"/>
      <c r="J149" s="296"/>
      <c r="K149" s="296"/>
      <c r="L149" s="296"/>
      <c r="M149" s="296"/>
      <c r="N149" s="296"/>
      <c r="O149" s="296"/>
      <c r="P149" s="296"/>
      <c r="Q149" s="296"/>
      <c r="R149" s="296"/>
    </row>
    <row r="150" spans="1:18">
      <c r="A150" s="296"/>
      <c r="B150" s="296"/>
      <c r="C150" s="296"/>
      <c r="D150" s="296"/>
      <c r="E150" s="296"/>
      <c r="F150" s="297"/>
      <c r="G150" s="296"/>
      <c r="H150" s="296"/>
      <c r="I150" s="296"/>
      <c r="J150" s="296"/>
      <c r="K150" s="296"/>
      <c r="L150" s="296"/>
      <c r="M150" s="296"/>
      <c r="N150" s="296"/>
      <c r="O150" s="296"/>
      <c r="P150" s="296"/>
      <c r="Q150" s="296"/>
      <c r="R150" s="296"/>
    </row>
    <row r="151" spans="1:18">
      <c r="A151" s="296"/>
      <c r="B151" s="296"/>
      <c r="C151" s="296"/>
      <c r="D151" s="296"/>
      <c r="E151" s="296"/>
      <c r="F151" s="297"/>
      <c r="G151" s="296"/>
      <c r="H151" s="296"/>
      <c r="I151" s="296"/>
      <c r="J151" s="296"/>
      <c r="K151" s="296"/>
      <c r="L151" s="296"/>
      <c r="M151" s="296"/>
      <c r="N151" s="296"/>
      <c r="O151" s="296"/>
      <c r="P151" s="296"/>
      <c r="Q151" s="296"/>
      <c r="R151" s="296"/>
    </row>
    <row r="152" spans="1:18">
      <c r="A152" s="296"/>
      <c r="B152" s="296"/>
      <c r="C152" s="296"/>
      <c r="D152" s="296"/>
      <c r="E152" s="296"/>
      <c r="F152" s="297"/>
      <c r="G152" s="296"/>
      <c r="H152" s="296"/>
      <c r="I152" s="296"/>
      <c r="J152" s="296"/>
      <c r="K152" s="296"/>
      <c r="L152" s="296"/>
      <c r="M152" s="296"/>
      <c r="N152" s="296"/>
      <c r="O152" s="296"/>
      <c r="P152" s="296"/>
      <c r="Q152" s="296"/>
      <c r="R152" s="296"/>
    </row>
    <row r="153" spans="1:18">
      <c r="A153" s="296"/>
      <c r="B153" s="296"/>
      <c r="C153" s="296"/>
      <c r="D153" s="296"/>
      <c r="E153" s="296"/>
      <c r="F153" s="297"/>
      <c r="G153" s="296"/>
      <c r="H153" s="296"/>
      <c r="I153" s="296"/>
      <c r="J153" s="296"/>
      <c r="K153" s="296"/>
      <c r="L153" s="296"/>
      <c r="M153" s="296"/>
      <c r="N153" s="296"/>
      <c r="O153" s="296"/>
      <c r="P153" s="296"/>
      <c r="Q153" s="296"/>
      <c r="R153" s="296"/>
    </row>
    <row r="154" spans="1:18">
      <c r="A154" s="296"/>
      <c r="B154" s="296"/>
      <c r="C154" s="296"/>
      <c r="D154" s="296"/>
      <c r="E154" s="296"/>
      <c r="F154" s="297"/>
      <c r="G154" s="296"/>
      <c r="H154" s="296"/>
      <c r="I154" s="296"/>
      <c r="J154" s="296"/>
      <c r="K154" s="296"/>
      <c r="L154" s="296"/>
      <c r="M154" s="296"/>
      <c r="N154" s="296"/>
      <c r="O154" s="296"/>
      <c r="P154" s="296"/>
      <c r="Q154" s="296"/>
      <c r="R154" s="296"/>
    </row>
    <row r="155" spans="1:18">
      <c r="A155" s="296"/>
      <c r="F155" s="297"/>
      <c r="G155" s="296"/>
      <c r="H155" s="296"/>
      <c r="I155" s="296"/>
      <c r="J155" s="296"/>
      <c r="K155" s="296"/>
      <c r="L155" s="296"/>
      <c r="M155" s="296"/>
      <c r="N155" s="296"/>
      <c r="O155" s="296"/>
      <c r="P155" s="296"/>
      <c r="Q155" s="296"/>
      <c r="R155" s="296"/>
    </row>
    <row r="156" spans="1:18">
      <c r="A156" s="296"/>
      <c r="F156" s="297"/>
      <c r="G156" s="296"/>
      <c r="H156" s="296"/>
      <c r="I156" s="296"/>
      <c r="J156" s="296"/>
      <c r="K156" s="296"/>
      <c r="L156" s="296"/>
      <c r="M156" s="296"/>
      <c r="N156" s="296"/>
      <c r="O156" s="296"/>
      <c r="P156" s="296"/>
      <c r="Q156" s="296"/>
      <c r="R156" s="296"/>
    </row>
    <row r="157" spans="1:18">
      <c r="A157" s="296"/>
      <c r="F157" s="297"/>
      <c r="G157" s="296"/>
      <c r="H157" s="296"/>
      <c r="I157" s="296"/>
      <c r="J157" s="296"/>
      <c r="K157" s="296"/>
      <c r="L157" s="296"/>
      <c r="M157" s="296"/>
      <c r="N157" s="296"/>
      <c r="O157" s="296"/>
      <c r="P157" s="296"/>
      <c r="Q157" s="296"/>
      <c r="R157" s="296"/>
    </row>
    <row r="158" spans="1:18">
      <c r="A158" s="296"/>
      <c r="F158" s="297"/>
      <c r="G158" s="296"/>
      <c r="H158" s="296"/>
      <c r="I158" s="296"/>
      <c r="J158" s="296"/>
      <c r="K158" s="296"/>
      <c r="L158" s="296"/>
      <c r="M158" s="296"/>
      <c r="N158" s="296"/>
      <c r="O158" s="296"/>
      <c r="P158" s="296"/>
      <c r="Q158" s="296"/>
      <c r="R158" s="296"/>
    </row>
    <row r="159" spans="1:18">
      <c r="A159" s="296"/>
      <c r="F159" s="297"/>
      <c r="G159" s="296"/>
      <c r="H159" s="296"/>
      <c r="I159" s="296"/>
      <c r="J159" s="296"/>
      <c r="K159" s="296"/>
      <c r="L159" s="296"/>
      <c r="M159" s="296"/>
      <c r="N159" s="296"/>
      <c r="O159" s="296"/>
      <c r="P159" s="296"/>
      <c r="Q159" s="296"/>
      <c r="R159" s="296"/>
    </row>
    <row r="160" spans="1:18">
      <c r="A160" s="296"/>
      <c r="F160" s="297"/>
      <c r="G160" s="296"/>
      <c r="H160" s="296"/>
      <c r="I160" s="296"/>
      <c r="J160" s="296"/>
      <c r="K160" s="296"/>
      <c r="L160" s="296"/>
      <c r="M160" s="296"/>
      <c r="N160" s="296"/>
      <c r="O160" s="296"/>
      <c r="P160" s="296"/>
      <c r="Q160" s="296"/>
      <c r="R160" s="296"/>
    </row>
    <row r="161" spans="1:1">
      <c r="A161" s="296"/>
    </row>
  </sheetData>
  <mergeCells count="2">
    <mergeCell ref="B1:E1"/>
    <mergeCell ref="G2:H2"/>
  </mergeCell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0"/>
  <sheetViews>
    <sheetView workbookViewId="0">
      <selection activeCell="D6" sqref="D6"/>
    </sheetView>
  </sheetViews>
  <sheetFormatPr baseColWidth="10" defaultColWidth="11.5546875" defaultRowHeight="14.4"/>
  <cols>
    <col min="1" max="1" width="11.5546875" style="1"/>
    <col min="2" max="2" width="18.33203125" style="1" customWidth="1"/>
    <col min="3" max="3" width="31.33203125" style="1" customWidth="1"/>
    <col min="4" max="4" width="55.6640625" style="1" customWidth="1"/>
    <col min="5" max="6" width="11.5546875" style="1"/>
    <col min="7" max="7" width="19.6640625" style="1" customWidth="1"/>
    <col min="8" max="16384" width="11.5546875" style="1"/>
  </cols>
  <sheetData>
    <row r="1" spans="1:17" ht="34.200000000000003" customHeight="1">
      <c r="A1" s="180"/>
      <c r="B1" s="378" t="s">
        <v>163</v>
      </c>
      <c r="C1" s="378"/>
      <c r="D1" s="378"/>
      <c r="E1" s="180"/>
      <c r="F1" s="180"/>
      <c r="G1" s="180"/>
      <c r="H1" s="180"/>
      <c r="I1" s="180"/>
      <c r="J1" s="180"/>
      <c r="K1" s="180"/>
      <c r="L1" s="180"/>
      <c r="M1" s="180"/>
      <c r="N1" s="180"/>
      <c r="O1" s="180"/>
      <c r="P1" s="180"/>
      <c r="Q1" s="180"/>
    </row>
    <row r="2" spans="1:17" ht="56.4" customHeight="1">
      <c r="A2" s="180"/>
      <c r="B2" s="189" t="s">
        <v>164</v>
      </c>
      <c r="C2" s="189" t="s">
        <v>165</v>
      </c>
      <c r="D2" s="189" t="s">
        <v>166</v>
      </c>
      <c r="E2" s="180"/>
      <c r="F2" s="367" t="s">
        <v>167</v>
      </c>
      <c r="G2" s="368"/>
      <c r="H2" s="180"/>
      <c r="I2" s="180"/>
      <c r="J2" s="180"/>
      <c r="K2" s="180"/>
      <c r="L2" s="180"/>
      <c r="M2" s="180"/>
      <c r="N2" s="180"/>
      <c r="O2" s="180"/>
      <c r="P2" s="180"/>
      <c r="Q2" s="180"/>
    </row>
    <row r="3" spans="1:17" ht="104.4" customHeight="1">
      <c r="A3" s="180"/>
      <c r="B3" s="16" t="s">
        <v>22</v>
      </c>
      <c r="C3" s="16" t="s">
        <v>168</v>
      </c>
      <c r="D3" s="17" t="str">
        <f>Industrie!C78</f>
        <v xml:space="preserve">Le secteur industriel engage des travaux d’électrification, notamment via l’installation de pompes à chaleur (pour les basses températures), de chaudières électriques (par exemple pour la chimie ou l’agroalimentaire pour produire de la chaleur) ou encore de fours électriques (notamment pour la métallurgie et le verre). </v>
      </c>
      <c r="E3" s="180"/>
      <c r="F3" s="180"/>
      <c r="G3" s="180"/>
      <c r="H3" s="180"/>
      <c r="I3" s="180"/>
      <c r="J3" s="180"/>
      <c r="K3" s="180"/>
      <c r="L3" s="180"/>
      <c r="M3" s="180"/>
      <c r="N3" s="180"/>
      <c r="O3" s="180"/>
      <c r="P3" s="180"/>
      <c r="Q3" s="180"/>
    </row>
    <row r="4" spans="1:17" ht="70.95" customHeight="1">
      <c r="A4" s="180"/>
      <c r="B4" s="16" t="s">
        <v>22</v>
      </c>
      <c r="C4" s="16" t="s">
        <v>169</v>
      </c>
      <c r="D4" s="17" t="str">
        <f>Industrie!C79</f>
        <v>Utilisation énergétique de la biomasse et des CSR  : dans l’industrie, la biomasse issue notamment de la gestion durable de forêts est en priorité  orientée vers les usages hautes températures, difficiles à électrifier.</v>
      </c>
      <c r="E4" s="180"/>
      <c r="F4" s="180"/>
      <c r="G4" s="180"/>
      <c r="H4" s="180"/>
      <c r="I4" s="180"/>
      <c r="J4" s="180"/>
      <c r="K4" s="180"/>
      <c r="L4" s="180"/>
      <c r="M4" s="180"/>
      <c r="N4" s="180"/>
      <c r="O4" s="180"/>
      <c r="P4" s="180"/>
      <c r="Q4" s="180"/>
    </row>
    <row r="5" spans="1:17" ht="54" customHeight="1">
      <c r="A5" s="180"/>
      <c r="B5" s="16" t="s">
        <v>22</v>
      </c>
      <c r="C5" s="16" t="s">
        <v>170</v>
      </c>
      <c r="D5" s="17" t="str">
        <f>Industrie!C80</f>
        <v xml:space="preserve">La quasi-totalité de la chaleur fatale est réutilisée sur site, par exemple pour le préchauffage, et ensuite pour alimenter des réseaux de chaleurs industriels ou résidentiels. </v>
      </c>
      <c r="E5" s="180"/>
      <c r="F5" s="180"/>
      <c r="G5" s="180"/>
      <c r="H5" s="180"/>
      <c r="I5" s="180"/>
      <c r="J5" s="180"/>
      <c r="K5" s="180"/>
      <c r="L5" s="180"/>
      <c r="M5" s="180"/>
      <c r="N5" s="180"/>
      <c r="O5" s="180"/>
      <c r="P5" s="180"/>
      <c r="Q5" s="180"/>
    </row>
    <row r="6" spans="1:17" ht="91.95" customHeight="1">
      <c r="A6" s="180"/>
      <c r="B6" s="16" t="s">
        <v>22</v>
      </c>
      <c r="C6" s="16" t="s">
        <v>170</v>
      </c>
      <c r="D6" s="17" t="str">
        <f>Industrie!C81</f>
        <v>Les gains d’efficacité énergétique déjà réalisés ces dernières années se poursuivent. Ils sont très variables selon les secteurs industriels : entre 5 et 25 % en 2030 par rapport à 2021 (à l’exception de certains secteurs comme l’ammoniac pour lequel l’utilisation d’hydrogène décarboné engendre une perte d’efficacité énergétique).</v>
      </c>
      <c r="E6" s="180"/>
      <c r="F6" s="180"/>
      <c r="G6" s="180"/>
      <c r="H6" s="180"/>
      <c r="I6" s="180"/>
      <c r="J6" s="180"/>
      <c r="K6" s="180"/>
      <c r="L6" s="180"/>
      <c r="M6" s="180"/>
      <c r="N6" s="180"/>
      <c r="O6" s="180"/>
      <c r="P6" s="180"/>
      <c r="Q6" s="180"/>
    </row>
    <row r="7" spans="1:17" ht="77.400000000000006" customHeight="1">
      <c r="A7" s="180"/>
      <c r="B7" s="16" t="s">
        <v>22</v>
      </c>
      <c r="C7" s="16" t="s">
        <v>171</v>
      </c>
      <c r="D7" s="17" t="str">
        <f>Industrie!C82</f>
        <v xml:space="preserve">Abattement des gaz fluorés et des émissions de protoxyde d’azote : adaptation des procédés de production (par exemple, l’utilisation de fluides frigorigènes non fluorés ou en utilisant des catalyseurs pour le N2O). </v>
      </c>
      <c r="E7" s="180"/>
      <c r="F7" s="180"/>
      <c r="G7" s="180"/>
      <c r="H7" s="180"/>
      <c r="I7" s="180"/>
      <c r="J7" s="180"/>
      <c r="K7" s="180"/>
      <c r="L7" s="180"/>
      <c r="M7" s="180"/>
      <c r="N7" s="180"/>
      <c r="O7" s="180"/>
      <c r="P7" s="180"/>
      <c r="Q7" s="180"/>
    </row>
    <row r="8" spans="1:17" ht="57" customHeight="1">
      <c r="A8" s="180"/>
      <c r="B8" s="16" t="s">
        <v>22</v>
      </c>
      <c r="C8" s="16" t="s">
        <v>172</v>
      </c>
      <c r="D8" s="17" t="str">
        <f>Industrie!C83</f>
        <v xml:space="preserve">Les taux d'incorporation de matières premières recyclées dans les secteurs de l’acier, de l’aluminium, de la pétrochimie et du verre augmentent entre 10 et 30%. </v>
      </c>
      <c r="E8" s="180"/>
      <c r="F8" s="180"/>
      <c r="G8" s="180"/>
      <c r="H8" s="180"/>
      <c r="I8" s="180"/>
      <c r="J8" s="180"/>
      <c r="K8" s="180"/>
      <c r="L8" s="180"/>
      <c r="M8" s="180"/>
      <c r="N8" s="180"/>
      <c r="O8" s="180"/>
      <c r="P8" s="180"/>
      <c r="Q8" s="180"/>
    </row>
    <row r="9" spans="1:17" ht="38.4" customHeight="1">
      <c r="A9" s="180"/>
      <c r="B9" s="16" t="s">
        <v>22</v>
      </c>
      <c r="C9" s="16"/>
      <c r="D9" s="17" t="str">
        <f>Industrie!C84</f>
        <v>Le taux de clinker est réduit de 9% pour la production de ciment.</v>
      </c>
      <c r="E9" s="180"/>
      <c r="F9" s="180"/>
      <c r="G9" s="180"/>
      <c r="H9" s="180"/>
      <c r="I9" s="180"/>
      <c r="J9" s="180"/>
      <c r="K9" s="180"/>
      <c r="L9" s="180"/>
      <c r="M9" s="180"/>
      <c r="N9" s="180"/>
      <c r="O9" s="180"/>
      <c r="P9" s="180"/>
      <c r="Q9" s="180"/>
    </row>
    <row r="10" spans="1:17">
      <c r="A10" s="180"/>
      <c r="B10" s="16" t="s">
        <v>22</v>
      </c>
      <c r="C10" s="16" t="s">
        <v>173</v>
      </c>
      <c r="D10" s="17" t="str">
        <f>Industrie!C85</f>
        <v xml:space="preserve">Capture, stockage ou valorisation de carbone </v>
      </c>
      <c r="E10" s="180"/>
      <c r="F10" s="180"/>
      <c r="G10" s="180"/>
      <c r="H10" s="180"/>
      <c r="I10" s="180"/>
      <c r="J10" s="180"/>
      <c r="K10" s="180"/>
      <c r="L10" s="180"/>
      <c r="M10" s="180"/>
      <c r="N10" s="180"/>
      <c r="O10" s="180"/>
      <c r="P10" s="180"/>
      <c r="Q10" s="180"/>
    </row>
    <row r="11" spans="1:17" ht="30.6" customHeight="1">
      <c r="A11" s="180"/>
      <c r="B11" s="16" t="s">
        <v>143</v>
      </c>
      <c r="C11" s="16" t="s">
        <v>174</v>
      </c>
      <c r="D11" s="17" t="str">
        <f>Bâtiment!C86</f>
        <v xml:space="preserve">Diviser par deux le nombre de passoires thermiques en 2030 </v>
      </c>
      <c r="E11" s="180"/>
      <c r="F11" s="180"/>
      <c r="G11" s="180"/>
      <c r="H11" s="180"/>
      <c r="I11" s="180"/>
      <c r="J11" s="180"/>
      <c r="K11" s="180"/>
      <c r="L11" s="180"/>
      <c r="M11" s="180"/>
      <c r="N11" s="180"/>
      <c r="O11" s="180"/>
      <c r="P11" s="180"/>
      <c r="Q11" s="180"/>
    </row>
    <row r="12" spans="1:17" ht="39" customHeight="1">
      <c r="A12" s="180"/>
      <c r="B12" s="16" t="s">
        <v>143</v>
      </c>
      <c r="C12" s="16" t="s">
        <v>175</v>
      </c>
      <c r="D12" s="17" t="str">
        <f>Bâtiment!C87</f>
        <v>Remplacement par un système de chauffage décarboné de 75% des chaudières au fioul d’ici 2030.</v>
      </c>
      <c r="E12" s="180"/>
      <c r="F12" s="180"/>
      <c r="G12" s="180"/>
      <c r="H12" s="180"/>
      <c r="I12" s="180"/>
      <c r="J12" s="180"/>
      <c r="K12" s="180"/>
      <c r="L12" s="180"/>
      <c r="M12" s="180"/>
      <c r="N12" s="180"/>
      <c r="O12" s="180"/>
      <c r="P12" s="180"/>
      <c r="Q12" s="180"/>
    </row>
    <row r="13" spans="1:17" ht="39.6" customHeight="1">
      <c r="A13" s="180"/>
      <c r="B13" s="16" t="s">
        <v>143</v>
      </c>
      <c r="C13" s="16" t="s">
        <v>175</v>
      </c>
      <c r="D13" s="17" t="str">
        <f>Bâtiment!C88</f>
        <v>Remplacement par un système de chauffage décarboné de 20 à 25% des chaudières au gaz d’ici 2030</v>
      </c>
      <c r="E13" s="180"/>
      <c r="F13" s="180"/>
      <c r="G13" s="180"/>
      <c r="H13" s="180"/>
      <c r="I13" s="180"/>
      <c r="J13" s="180"/>
      <c r="K13" s="180"/>
      <c r="L13" s="180"/>
      <c r="M13" s="180"/>
      <c r="N13" s="180"/>
      <c r="O13" s="180"/>
      <c r="P13" s="180"/>
      <c r="Q13" s="180"/>
    </row>
    <row r="14" spans="1:17" ht="50.4" customHeight="1">
      <c r="A14" s="180"/>
      <c r="B14" s="16" t="s">
        <v>143</v>
      </c>
      <c r="C14" s="16" t="s">
        <v>176</v>
      </c>
      <c r="D14" s="17" t="str">
        <f>Bâtiment!C89</f>
        <v>Atteindre 15% de biogaz dans le réseau en 2030</v>
      </c>
      <c r="E14" s="180"/>
      <c r="F14" s="180"/>
      <c r="G14" s="180"/>
      <c r="H14" s="180"/>
      <c r="I14" s="180"/>
      <c r="J14" s="180"/>
      <c r="K14" s="180"/>
      <c r="L14" s="180"/>
      <c r="M14" s="180"/>
      <c r="N14" s="180"/>
      <c r="O14" s="180"/>
      <c r="P14" s="180"/>
      <c r="Q14" s="180"/>
    </row>
    <row r="15" spans="1:17" ht="28.8">
      <c r="A15" s="180"/>
      <c r="B15" s="16" t="s">
        <v>143</v>
      </c>
      <c r="C15" s="16" t="s">
        <v>177</v>
      </c>
      <c r="D15" s="17" t="str">
        <f>Bâtiment!C90</f>
        <v>Réduire de 18% la consommation finale d'énergie du secteur résidentiel en 2030 vs 2019</v>
      </c>
      <c r="E15" s="180"/>
      <c r="F15" s="180"/>
      <c r="G15" s="180"/>
      <c r="H15" s="180"/>
      <c r="I15" s="180"/>
      <c r="J15" s="180"/>
      <c r="K15" s="180"/>
      <c r="L15" s="180"/>
      <c r="M15" s="180"/>
      <c r="N15" s="180"/>
      <c r="O15" s="180"/>
      <c r="P15" s="180"/>
      <c r="Q15" s="180"/>
    </row>
    <row r="16" spans="1:17" ht="43.2" customHeight="1">
      <c r="A16" s="180"/>
      <c r="B16" s="16" t="s">
        <v>133</v>
      </c>
      <c r="C16" s="16" t="s">
        <v>178</v>
      </c>
      <c r="D16" s="17" t="str">
        <f>Bâtiment!C95</f>
        <v>Réduction de 40% de la consommation d'énergie finale du bâtiment tertiaire en 2030 (décret tertiaire)</v>
      </c>
      <c r="E16" s="180"/>
      <c r="F16" s="180"/>
      <c r="G16" s="180"/>
      <c r="H16" s="180"/>
      <c r="I16" s="180"/>
      <c r="J16" s="180"/>
      <c r="K16" s="180"/>
      <c r="L16" s="180"/>
      <c r="M16" s="180"/>
      <c r="N16" s="180"/>
      <c r="O16" s="180"/>
      <c r="P16" s="180"/>
      <c r="Q16" s="180"/>
    </row>
    <row r="17" spans="1:17" ht="79.95" customHeight="1">
      <c r="A17" s="180"/>
      <c r="B17" s="16" t="s">
        <v>133</v>
      </c>
      <c r="C17" s="16" t="s">
        <v>175</v>
      </c>
      <c r="D17" s="17" t="str">
        <f>Bâtiment!C96</f>
        <v xml:space="preserve">En 2030, l’usage du fioul dans les surfaces tertiaires devient très marginal. Environ 1% des surfaces continuent d’être chauffées au fioul, dans des situations où la transition vers un système décarboné est techniquement ou économiquement très complexe. </v>
      </c>
      <c r="E17" s="180"/>
      <c r="F17" s="180"/>
      <c r="G17" s="180"/>
      <c r="H17" s="180"/>
      <c r="I17" s="180"/>
      <c r="J17" s="180"/>
      <c r="K17" s="180"/>
      <c r="L17" s="180"/>
      <c r="M17" s="180"/>
      <c r="N17" s="180"/>
      <c r="O17" s="180"/>
      <c r="P17" s="180"/>
      <c r="Q17" s="180"/>
    </row>
    <row r="18" spans="1:17" ht="46.95" customHeight="1">
      <c r="A18" s="180"/>
      <c r="B18" s="16" t="s">
        <v>133</v>
      </c>
      <c r="C18" s="16" t="s">
        <v>175</v>
      </c>
      <c r="D18" s="17" t="str">
        <f>Bâtiment!C97</f>
        <v>Baisse de 30% de la consommation de gaz du tertiaire en 2030 vs 2019 (décret tertiaire) : 2% du parc quitte le gaz chaque année</v>
      </c>
      <c r="E18" s="180"/>
      <c r="F18" s="180"/>
      <c r="G18" s="180"/>
      <c r="H18" s="180"/>
      <c r="I18" s="180"/>
      <c r="J18" s="180"/>
      <c r="K18" s="180"/>
      <c r="L18" s="180"/>
      <c r="M18" s="180"/>
      <c r="N18" s="180"/>
      <c r="O18" s="180"/>
      <c r="P18" s="180"/>
      <c r="Q18" s="180"/>
    </row>
    <row r="19" spans="1:17" ht="51.6" customHeight="1">
      <c r="A19" s="180"/>
      <c r="B19" s="16" t="s">
        <v>133</v>
      </c>
      <c r="C19" s="16" t="s">
        <v>179</v>
      </c>
      <c r="D19" s="17" t="str">
        <f>Bâtiment!C98</f>
        <v>La part de surfaces tertiaires chauffées par des convecteurs électriques diminue fortement, remplacées par des pompes à chaleur air/air plus performantes.</v>
      </c>
      <c r="E19" s="180"/>
      <c r="F19" s="180"/>
      <c r="G19" s="180"/>
      <c r="H19" s="180"/>
      <c r="I19" s="180"/>
      <c r="J19" s="180"/>
      <c r="K19" s="180"/>
      <c r="L19" s="180"/>
      <c r="M19" s="180"/>
      <c r="N19" s="180"/>
      <c r="O19" s="180"/>
      <c r="P19" s="180"/>
      <c r="Q19" s="180"/>
    </row>
    <row r="20" spans="1:17" ht="49.95" customHeight="1">
      <c r="A20" s="180"/>
      <c r="B20" s="16" t="s">
        <v>133</v>
      </c>
      <c r="C20" s="16" t="s">
        <v>176</v>
      </c>
      <c r="D20" s="17" t="str">
        <f>Bâtiment!C99</f>
        <v>Atteindre 15% de biogaz dans le réseau en 2030</v>
      </c>
      <c r="E20" s="180"/>
      <c r="F20" s="180"/>
      <c r="G20" s="180"/>
      <c r="H20" s="180"/>
      <c r="I20" s="180"/>
      <c r="J20" s="180"/>
      <c r="K20" s="180"/>
      <c r="L20" s="180"/>
      <c r="M20" s="180"/>
      <c r="N20" s="180"/>
      <c r="O20" s="180"/>
      <c r="P20" s="180"/>
      <c r="Q20" s="180"/>
    </row>
    <row r="21" spans="1:17" ht="35.4" customHeight="1">
      <c r="A21" s="180"/>
      <c r="B21" s="16" t="s">
        <v>180</v>
      </c>
      <c r="C21" s="16" t="s">
        <v>181</v>
      </c>
      <c r="D21" s="17" t="str">
        <f>Transport!C85</f>
        <v xml:space="preserve">Augmentation moyenne du trafic des transports en commun de 25 % d’ici 2030 (25% pour les bus et cars, et 25% pour les trains). </v>
      </c>
      <c r="E21" s="180"/>
      <c r="F21" s="180"/>
      <c r="G21" s="180"/>
      <c r="H21" s="180"/>
      <c r="I21" s="180"/>
      <c r="J21" s="180"/>
      <c r="K21" s="180"/>
      <c r="L21" s="180"/>
      <c r="M21" s="180"/>
      <c r="N21" s="180"/>
      <c r="O21" s="180"/>
      <c r="P21" s="180"/>
      <c r="Q21" s="180"/>
    </row>
    <row r="22" spans="1:17" ht="54.6" customHeight="1">
      <c r="A22" s="180"/>
      <c r="B22" s="16" t="s">
        <v>180</v>
      </c>
      <c r="C22" s="16" t="s">
        <v>182</v>
      </c>
      <c r="D22" s="17" t="str">
        <f>Transport!C86</f>
        <v xml:space="preserve"> Augmentation du trafic vélo (de 5 à 19 Mds voy-km) en développant les infrastructures cyclables afin de doubler le réseau d’ici 2030 pour le porter à 100 000 kilomètres.</v>
      </c>
      <c r="E22" s="180"/>
      <c r="F22" s="180"/>
      <c r="G22" s="180"/>
      <c r="H22" s="180"/>
      <c r="I22" s="180"/>
      <c r="J22" s="180"/>
      <c r="K22" s="180"/>
      <c r="L22" s="180"/>
      <c r="M22" s="180"/>
      <c r="N22" s="180"/>
      <c r="O22" s="180"/>
      <c r="P22" s="180"/>
      <c r="Q22" s="180"/>
    </row>
    <row r="23" spans="1:17" ht="41.4" customHeight="1">
      <c r="A23" s="180"/>
      <c r="B23" s="16" t="s">
        <v>180</v>
      </c>
      <c r="C23" s="16" t="s">
        <v>183</v>
      </c>
      <c r="D23" s="17" t="str">
        <f>Transport!C87</f>
        <v>Triplement du nombre de trajets coivoiturés en 2027 par rapport à 2023</v>
      </c>
      <c r="E23" s="180"/>
      <c r="F23" s="180"/>
      <c r="G23" s="180"/>
      <c r="H23" s="180"/>
      <c r="I23" s="180"/>
      <c r="J23" s="180"/>
      <c r="K23" s="180"/>
      <c r="L23" s="180"/>
      <c r="M23" s="180"/>
      <c r="N23" s="180"/>
      <c r="O23" s="180"/>
      <c r="P23" s="180"/>
      <c r="Q23" s="180"/>
    </row>
    <row r="24" spans="1:17" ht="33" customHeight="1">
      <c r="A24" s="180"/>
      <c r="B24" s="16" t="s">
        <v>180</v>
      </c>
      <c r="C24" s="16" t="s">
        <v>184</v>
      </c>
      <c r="D24" s="17" t="str">
        <f>Transport!C88</f>
        <v>66% de véhicules électrifiés dans les ventes de véhicules particuliers neufs en 2030</v>
      </c>
      <c r="E24" s="180"/>
      <c r="F24" s="180"/>
      <c r="G24" s="180"/>
      <c r="H24" s="180"/>
      <c r="I24" s="180"/>
      <c r="J24" s="180"/>
      <c r="K24" s="180"/>
      <c r="L24" s="180"/>
      <c r="M24" s="180"/>
      <c r="N24" s="180"/>
      <c r="O24" s="180"/>
      <c r="P24" s="180"/>
      <c r="Q24" s="180"/>
    </row>
    <row r="25" spans="1:17" ht="60" customHeight="1">
      <c r="A25" s="180"/>
      <c r="B25" s="16" t="s">
        <v>180</v>
      </c>
      <c r="C25" s="16" t="s">
        <v>184</v>
      </c>
      <c r="D25" s="18" t="str">
        <f>Transport!C89</f>
        <v>Part de l'électrique dans le parc roulant en 2030 : 15%
Fin de la vente de véhicules légers neufs thermiques et hybrides en 2035</v>
      </c>
      <c r="E25" s="180"/>
      <c r="F25" s="180"/>
      <c r="G25" s="180"/>
      <c r="H25" s="180"/>
      <c r="I25" s="180"/>
      <c r="J25" s="180"/>
      <c r="K25" s="180"/>
      <c r="L25" s="180"/>
      <c r="M25" s="180"/>
      <c r="N25" s="180"/>
      <c r="O25" s="180"/>
      <c r="P25" s="180"/>
      <c r="Q25" s="180"/>
    </row>
    <row r="26" spans="1:17" ht="48" customHeight="1">
      <c r="A26" s="180"/>
      <c r="B26" s="16" t="s">
        <v>180</v>
      </c>
      <c r="C26" s="16" t="s">
        <v>185</v>
      </c>
      <c r="D26" s="17" t="str">
        <f>Transport!C90</f>
        <v>Baisse moyenne de 16% des émissions de CO2/km des véhicules thermiques neufs vendus en 2030 vs 2019</v>
      </c>
      <c r="E26" s="180"/>
      <c r="F26" s="180"/>
      <c r="G26" s="180"/>
      <c r="H26" s="180"/>
      <c r="I26" s="180"/>
      <c r="J26" s="180"/>
      <c r="K26" s="180"/>
      <c r="L26" s="180"/>
      <c r="M26" s="180"/>
      <c r="N26" s="180"/>
      <c r="O26" s="180"/>
      <c r="P26" s="180"/>
      <c r="Q26" s="180"/>
    </row>
    <row r="27" spans="1:17" ht="47.4" customHeight="1">
      <c r="A27" s="180"/>
      <c r="B27" s="16" t="s">
        <v>180</v>
      </c>
      <c r="C27" s="16" t="s">
        <v>185</v>
      </c>
      <c r="D27" s="17" t="str">
        <f>Transport!C91</f>
        <v>La consommation des voitures particulières électriques neuves diminue de 12% d’ici 2030 par rapport à 2019.</v>
      </c>
      <c r="E27" s="180"/>
      <c r="F27" s="180"/>
      <c r="G27" s="180"/>
      <c r="H27" s="180"/>
      <c r="I27" s="180"/>
      <c r="J27" s="180"/>
      <c r="K27" s="180"/>
      <c r="L27" s="180"/>
      <c r="M27" s="180"/>
      <c r="N27" s="180"/>
      <c r="O27" s="180"/>
      <c r="P27" s="180"/>
      <c r="Q27" s="180"/>
    </row>
    <row r="28" spans="1:17" ht="72.599999999999994" customHeight="1">
      <c r="A28" s="180"/>
      <c r="B28" s="16" t="s">
        <v>180</v>
      </c>
      <c r="C28" s="16" t="s">
        <v>185</v>
      </c>
      <c r="D28" s="195" t="str">
        <f>Transport!C92</f>
        <v xml:space="preserve">Réduction de 14,5% de l’intensité carbone de l’énergie utilisée dans le secteur des transports en 2030, par rapport à la référence essence ou diesel fossile de 94 gCO2/MJ. </v>
      </c>
      <c r="E28" s="180"/>
      <c r="F28" s="180"/>
      <c r="G28" s="180"/>
      <c r="H28" s="180"/>
      <c r="I28" s="180"/>
      <c r="J28" s="180"/>
      <c r="K28" s="180"/>
      <c r="L28" s="180"/>
      <c r="M28" s="180"/>
      <c r="N28" s="180"/>
      <c r="O28" s="180"/>
      <c r="P28" s="180"/>
      <c r="Q28" s="180"/>
    </row>
    <row r="29" spans="1:17" ht="48" customHeight="1">
      <c r="A29" s="180"/>
      <c r="B29" s="16" t="s">
        <v>180</v>
      </c>
      <c r="C29" s="16" t="s">
        <v>186</v>
      </c>
      <c r="D29" s="195" t="str">
        <f>Transport!C93</f>
        <v>Stabilisation du nombre de kilomètres parcourus par an par personne tous modes confondus</v>
      </c>
      <c r="E29" s="180"/>
      <c r="F29" s="180"/>
      <c r="G29" s="180"/>
      <c r="H29" s="180"/>
      <c r="I29" s="180"/>
      <c r="J29" s="180"/>
      <c r="K29" s="180"/>
      <c r="L29" s="180"/>
      <c r="M29" s="180"/>
      <c r="N29" s="180"/>
      <c r="O29" s="180"/>
      <c r="P29" s="180"/>
      <c r="Q29" s="180"/>
    </row>
    <row r="30" spans="1:17" ht="48" customHeight="1">
      <c r="A30" s="180"/>
      <c r="B30" s="16" t="s">
        <v>180</v>
      </c>
      <c r="C30" s="16" t="s">
        <v>187</v>
      </c>
      <c r="D30" s="195" t="str">
        <f>Transport!C94</f>
        <v xml:space="preserve"> Baisse de la consommation unitaire (par passager-km) de 14 % d’ici 2030 par rapport à 2019.</v>
      </c>
      <c r="E30" s="180"/>
      <c r="F30" s="180"/>
      <c r="G30" s="180"/>
      <c r="H30" s="180"/>
      <c r="I30" s="180"/>
      <c r="J30" s="180"/>
      <c r="K30" s="180"/>
      <c r="L30" s="180"/>
      <c r="M30" s="180"/>
      <c r="N30" s="180"/>
      <c r="O30" s="180"/>
      <c r="P30" s="180"/>
      <c r="Q30" s="180"/>
    </row>
    <row r="31" spans="1:17" ht="48" customHeight="1">
      <c r="A31" s="180"/>
      <c r="B31" s="16" t="s">
        <v>180</v>
      </c>
      <c r="C31" s="16" t="s">
        <v>187</v>
      </c>
      <c r="D31" s="195" t="str">
        <f>Transport!C95</f>
        <v>Le recours aux carburants alternatifs durables (incluant une part de carburants de synthèse) dans l’aérien croît à 6% en 2030</v>
      </c>
      <c r="E31" s="180"/>
      <c r="F31" s="180"/>
      <c r="G31" s="180"/>
      <c r="H31" s="180"/>
      <c r="I31" s="180"/>
      <c r="J31" s="180"/>
      <c r="K31" s="180"/>
      <c r="L31" s="180"/>
      <c r="M31" s="180"/>
      <c r="N31" s="180"/>
      <c r="O31" s="180"/>
      <c r="P31" s="180"/>
      <c r="Q31" s="180"/>
    </row>
    <row r="32" spans="1:17" ht="53.4" customHeight="1">
      <c r="A32" s="180"/>
      <c r="B32" s="16" t="s">
        <v>180</v>
      </c>
      <c r="C32" s="16" t="s">
        <v>187</v>
      </c>
      <c r="D32" s="195" t="str">
        <f>Transport!C96</f>
        <v xml:space="preserve">Maîtrise de la demande de transport aérien domestique :  baisse de 12 % sur les vols intérieur hexagone </v>
      </c>
      <c r="E32" s="180"/>
      <c r="F32" s="180"/>
      <c r="G32" s="180"/>
      <c r="H32" s="180"/>
      <c r="I32" s="180"/>
      <c r="J32" s="180"/>
      <c r="K32" s="180"/>
      <c r="L32" s="180"/>
      <c r="M32" s="180"/>
      <c r="N32" s="180"/>
      <c r="O32" s="180"/>
      <c r="P32" s="180"/>
      <c r="Q32" s="180"/>
    </row>
    <row r="33" spans="1:17" ht="66" customHeight="1">
      <c r="A33" s="180"/>
      <c r="B33" s="16" t="s">
        <v>180</v>
      </c>
      <c r="C33" s="16" t="s">
        <v>187</v>
      </c>
      <c r="D33" s="195" t="str">
        <f>Transport!C97</f>
        <v>Maîtrise de la demande de transport aérien international : croissance de 18 % pour le trafic international (moindre que dans un scénario tendanciels 23 % de croissance pour les vols à l’international).</v>
      </c>
      <c r="E33" s="180"/>
      <c r="F33" s="180"/>
      <c r="G33" s="180"/>
      <c r="H33" s="180"/>
      <c r="I33" s="180"/>
      <c r="J33" s="180"/>
      <c r="K33" s="180"/>
      <c r="L33" s="180"/>
      <c r="M33" s="180"/>
      <c r="N33" s="180"/>
      <c r="O33" s="180"/>
      <c r="P33" s="180"/>
      <c r="Q33" s="180"/>
    </row>
    <row r="34" spans="1:17" ht="57" customHeight="1">
      <c r="A34" s="180"/>
      <c r="B34" s="16" t="s">
        <v>188</v>
      </c>
      <c r="C34" s="16" t="s">
        <v>189</v>
      </c>
      <c r="D34" s="17" t="str">
        <f>Transport!C103</f>
        <v>Passer à 18% la part des marchandises transportées par voie ferroviaire et à 3% la part transportée par voie maritime en 2030</v>
      </c>
      <c r="E34" s="180"/>
      <c r="F34" s="180"/>
      <c r="G34" s="180"/>
      <c r="H34" s="180"/>
      <c r="I34" s="180"/>
      <c r="J34" s="180"/>
      <c r="K34" s="180"/>
      <c r="L34" s="180"/>
      <c r="M34" s="180"/>
      <c r="N34" s="180"/>
      <c r="O34" s="180"/>
      <c r="P34" s="180"/>
      <c r="Q34" s="180"/>
    </row>
    <row r="35" spans="1:17" ht="45" customHeight="1">
      <c r="A35" s="180"/>
      <c r="B35" s="16" t="s">
        <v>188</v>
      </c>
      <c r="C35" s="16" t="s">
        <v>190</v>
      </c>
      <c r="D35" s="17" t="str">
        <f>Transport!C104</f>
        <v>Le chargement moyen des camions passe de 8,1 tonnes en 2019 à 8,4 d’ici 2030.</v>
      </c>
      <c r="E35" s="180"/>
      <c r="F35" s="180"/>
      <c r="G35" s="180"/>
      <c r="H35" s="180"/>
      <c r="I35" s="180"/>
      <c r="J35" s="180"/>
      <c r="K35" s="180"/>
      <c r="L35" s="180"/>
      <c r="M35" s="180"/>
      <c r="N35" s="180"/>
      <c r="O35" s="180"/>
      <c r="P35" s="180"/>
      <c r="Q35" s="180"/>
    </row>
    <row r="36" spans="1:17" ht="58.95" customHeight="1">
      <c r="A36" s="180"/>
      <c r="B36" s="16" t="s">
        <v>188</v>
      </c>
      <c r="C36" s="16" t="s">
        <v>191</v>
      </c>
      <c r="D36" s="17" t="str">
        <f>Transport!C105</f>
        <v>Part des véhicules électriques dans les ventes en 2030 : poids lourds 50%, VUL 51%</v>
      </c>
      <c r="E36" s="180"/>
      <c r="F36" s="180"/>
      <c r="G36" s="180"/>
      <c r="H36" s="180"/>
      <c r="I36" s="180"/>
      <c r="J36" s="180"/>
      <c r="K36" s="180"/>
      <c r="L36" s="180"/>
      <c r="M36" s="180"/>
      <c r="N36" s="180"/>
      <c r="O36" s="180"/>
      <c r="P36" s="180"/>
      <c r="Q36" s="180"/>
    </row>
    <row r="37" spans="1:17" ht="39.6" customHeight="1">
      <c r="A37" s="180"/>
      <c r="B37" s="16" t="s">
        <v>188</v>
      </c>
      <c r="C37" s="16" t="s">
        <v>191</v>
      </c>
      <c r="D37" s="17" t="str">
        <f>Transport!C106</f>
        <v>Part de l'électrique dans le parc roulant en 2030 : poids lourds 12%, VUL 14%</v>
      </c>
      <c r="E37" s="180"/>
      <c r="F37" s="180"/>
      <c r="G37" s="180"/>
      <c r="H37" s="180"/>
      <c r="I37" s="180"/>
      <c r="J37" s="180"/>
      <c r="K37" s="180"/>
      <c r="L37" s="180"/>
      <c r="M37" s="180"/>
      <c r="N37" s="180"/>
      <c r="O37" s="180"/>
      <c r="P37" s="180"/>
      <c r="Q37" s="180"/>
    </row>
    <row r="38" spans="1:17" ht="135" customHeight="1">
      <c r="A38" s="180"/>
      <c r="B38" s="16" t="s">
        <v>188</v>
      </c>
      <c r="C38" s="16" t="s">
        <v>170</v>
      </c>
      <c r="D38" s="17" t="str">
        <f>Transport!C107</f>
        <v xml:space="preserve">La consommation des VUL diesel neufs diminue de 14 % d’ici 2030 par rapport à 2019 
La consommation des VUL électriques neufs baisse de 20 % en 2030 par rapport à 2019. 
La consommation des PL diesel neufs diminue de 15 % d’ici 2030 par rapport à 2019
La consommation des PL électriques neufs baisse de 10% en 2030 par rapport à 2019. </v>
      </c>
      <c r="E38" s="180"/>
      <c r="F38" s="180"/>
      <c r="G38" s="180"/>
      <c r="H38" s="180"/>
      <c r="I38" s="180"/>
      <c r="J38" s="180"/>
      <c r="K38" s="180"/>
      <c r="L38" s="180"/>
      <c r="M38" s="180"/>
      <c r="N38" s="180"/>
      <c r="O38" s="180"/>
      <c r="P38" s="180"/>
      <c r="Q38" s="180"/>
    </row>
    <row r="39" spans="1:17" ht="28.8">
      <c r="A39" s="180"/>
      <c r="B39" s="16" t="s">
        <v>188</v>
      </c>
      <c r="C39" s="16" t="s">
        <v>192</v>
      </c>
      <c r="D39" s="17" t="str">
        <f>Transport!C108</f>
        <v xml:space="preserve">Réduction de 12 % de l'intensité carbone de l'énergie utilisée à bord des navires en 2030 </v>
      </c>
      <c r="E39" s="180"/>
      <c r="F39" s="180"/>
      <c r="G39" s="180"/>
      <c r="H39" s="180"/>
      <c r="I39" s="180"/>
      <c r="J39" s="180"/>
      <c r="K39" s="180"/>
      <c r="L39" s="180"/>
      <c r="M39" s="180"/>
      <c r="N39" s="180"/>
      <c r="O39" s="180"/>
      <c r="P39" s="180"/>
      <c r="Q39" s="180"/>
    </row>
    <row r="40" spans="1:17" ht="48" customHeight="1">
      <c r="A40" s="180"/>
      <c r="B40" s="16" t="s">
        <v>193</v>
      </c>
      <c r="C40" s="16" t="s">
        <v>194</v>
      </c>
      <c r="D40" s="17" t="str">
        <f>Agriculture!C61</f>
        <v>Doublement de la surface dédiée aux cultures de légumineuses en 2030 vs 2019</v>
      </c>
      <c r="E40" s="180"/>
      <c r="F40" s="180"/>
      <c r="G40" s="180"/>
      <c r="H40" s="180"/>
      <c r="I40" s="180"/>
      <c r="J40" s="180"/>
      <c r="K40" s="180"/>
      <c r="L40" s="180"/>
      <c r="M40" s="180"/>
      <c r="N40" s="180"/>
      <c r="O40" s="180"/>
      <c r="P40" s="180"/>
      <c r="Q40" s="180"/>
    </row>
    <row r="41" spans="1:17" ht="85.2" customHeight="1">
      <c r="A41" s="180"/>
      <c r="B41" s="16" t="s">
        <v>193</v>
      </c>
      <c r="C41" s="16" t="s">
        <v>194</v>
      </c>
      <c r="D41" s="17" t="str">
        <f>Agriculture!C62</f>
        <v>Evolution du cheptel :  -12 % en 2030 par rapport à 2020 pour les bovins ; 
-10 % en 2030 pour les porcins ; 
stable pour les volailles.</v>
      </c>
      <c r="E41" s="180"/>
      <c r="F41" s="180"/>
      <c r="G41" s="180"/>
      <c r="H41" s="180"/>
      <c r="I41" s="180"/>
      <c r="J41" s="180"/>
      <c r="K41" s="180"/>
      <c r="L41" s="180"/>
      <c r="M41" s="180"/>
      <c r="N41" s="180"/>
      <c r="O41" s="180"/>
      <c r="P41" s="180"/>
      <c r="Q41" s="180"/>
    </row>
    <row r="42" spans="1:17" ht="90" customHeight="1">
      <c r="A42" s="180"/>
      <c r="B42" s="16" t="s">
        <v>193</v>
      </c>
      <c r="C42" s="16" t="s">
        <v>194</v>
      </c>
      <c r="D42" s="17" t="str">
        <f>Agriculture!C63</f>
        <v>La part des élevages bovins lait en système de pâturage dominant passe de 28 % en 2020 à 45 % en 2030 ; 
Les poulets label et agriculture biologique (AB) évoluent de 32% en 2020 à 39% en 2030 
Les porcs label et AB évoluent de 4 % en 2020 à 7 % en 2030.</v>
      </c>
      <c r="E42" s="180"/>
      <c r="F42" s="180"/>
      <c r="G42" s="180"/>
      <c r="H42" s="180"/>
      <c r="I42" s="180"/>
      <c r="J42" s="180"/>
      <c r="K42" s="180"/>
      <c r="L42" s="180"/>
      <c r="M42" s="180"/>
      <c r="N42" s="180"/>
      <c r="O42" s="180"/>
      <c r="P42" s="180"/>
      <c r="Q42" s="180"/>
    </row>
    <row r="43" spans="1:17" ht="57.6">
      <c r="A43" s="180"/>
      <c r="B43" s="16" t="s">
        <v>193</v>
      </c>
      <c r="C43" s="16" t="s">
        <v>194</v>
      </c>
      <c r="D43" s="17" t="str">
        <f>Agriculture!C64</f>
        <v>Réduction de 50 % des importations de soja en 2030.</v>
      </c>
      <c r="E43" s="180"/>
      <c r="F43" s="180"/>
      <c r="G43" s="180"/>
      <c r="H43" s="180"/>
      <c r="I43" s="180"/>
      <c r="J43" s="180"/>
      <c r="K43" s="180"/>
      <c r="L43" s="180"/>
      <c r="M43" s="180"/>
      <c r="N43" s="180"/>
      <c r="O43" s="180"/>
      <c r="P43" s="180"/>
      <c r="Q43" s="180"/>
    </row>
    <row r="44" spans="1:17" ht="60" customHeight="1">
      <c r="A44" s="180"/>
      <c r="B44" s="16" t="s">
        <v>193</v>
      </c>
      <c r="C44" s="16" t="s">
        <v>195</v>
      </c>
      <c r="D44" s="17" t="str">
        <f>Agriculture!C65</f>
        <v>La part d’engins agricoles fonctionnant avec des énergies non-fossiles (biocarburants, HVO100, électricité, H2, BioGNV) passe de 0 % à 7 % en 2030.</v>
      </c>
      <c r="E44" s="180"/>
      <c r="F44" s="180"/>
      <c r="G44" s="180"/>
      <c r="H44" s="180"/>
      <c r="I44" s="180"/>
      <c r="J44" s="180"/>
      <c r="K44" s="180"/>
      <c r="L44" s="180"/>
      <c r="M44" s="180"/>
      <c r="N44" s="180"/>
      <c r="O44" s="180"/>
      <c r="P44" s="180"/>
      <c r="Q44" s="180"/>
    </row>
    <row r="45" spans="1:17" ht="36.6" customHeight="1">
      <c r="A45" s="180"/>
      <c r="B45" s="16" t="s">
        <v>193</v>
      </c>
      <c r="C45" s="16" t="s">
        <v>196</v>
      </c>
      <c r="D45" s="17" t="str">
        <f>Agriculture!C66</f>
        <v>Diminution du recours aux engrais minéraux azotés : -26 % en 2030.</v>
      </c>
      <c r="E45" s="180"/>
      <c r="F45" s="180"/>
      <c r="G45" s="180"/>
      <c r="H45" s="180"/>
      <c r="I45" s="180"/>
      <c r="J45" s="180"/>
      <c r="K45" s="180"/>
      <c r="L45" s="180"/>
      <c r="M45" s="180"/>
      <c r="N45" s="180"/>
      <c r="O45" s="180"/>
      <c r="P45" s="180"/>
      <c r="Q45" s="180"/>
    </row>
    <row r="46" spans="1:17" ht="57.6" customHeight="1">
      <c r="A46" s="180"/>
      <c r="B46" s="16" t="s">
        <v>193</v>
      </c>
      <c r="C46" s="16" t="s">
        <v>196</v>
      </c>
      <c r="D46" s="17" t="str">
        <f>Agriculture!C67</f>
        <v>Evolution des grandes cultures vers des systèmes à bas intrants (50% en 2030), dont 21% en agriculture biologique dès 2030.</v>
      </c>
      <c r="E46" s="180"/>
      <c r="F46" s="180"/>
      <c r="G46" s="180"/>
      <c r="H46" s="180"/>
      <c r="I46" s="180"/>
      <c r="J46" s="180"/>
      <c r="K46" s="180"/>
      <c r="L46" s="180"/>
      <c r="M46" s="180"/>
      <c r="N46" s="180"/>
      <c r="O46" s="180"/>
      <c r="P46" s="180"/>
      <c r="Q46" s="180"/>
    </row>
    <row r="47" spans="1:17" ht="56.4" customHeight="1">
      <c r="A47" s="180"/>
      <c r="B47" s="16" t="s">
        <v>193</v>
      </c>
      <c r="C47" s="16" t="s">
        <v>197</v>
      </c>
      <c r="D47" s="17" t="str">
        <f>Agriculture!C68</f>
        <v xml:space="preserve">Part croissante des déjections animales méthanisées pour atteindre 20% en 2030 ;  </v>
      </c>
      <c r="E47" s="180"/>
      <c r="F47" s="180"/>
      <c r="G47" s="180"/>
      <c r="H47" s="180"/>
      <c r="I47" s="180"/>
      <c r="J47" s="180"/>
      <c r="K47" s="180"/>
      <c r="L47" s="180"/>
      <c r="M47" s="180"/>
      <c r="N47" s="180"/>
      <c r="O47" s="180"/>
      <c r="P47" s="180"/>
      <c r="Q47" s="180"/>
    </row>
    <row r="48" spans="1:17" ht="83.4" customHeight="1">
      <c r="A48" s="180"/>
      <c r="B48" s="16" t="s">
        <v>193</v>
      </c>
      <c r="C48" s="16" t="s">
        <v>197</v>
      </c>
      <c r="D48" s="17" t="str">
        <f>Agriculture!C69</f>
        <v>Méthanisation : la part des cultures intermédiaires à vocation énergétique (CIVE) au sein des cultures intermédiaires progresse de 4 % aujourd’hui à 19 % en 2030.</v>
      </c>
      <c r="E48" s="180"/>
      <c r="F48" s="180"/>
      <c r="G48" s="180"/>
      <c r="H48" s="180"/>
      <c r="I48" s="180"/>
      <c r="J48" s="180"/>
      <c r="K48" s="180"/>
      <c r="L48" s="180"/>
      <c r="M48" s="180"/>
      <c r="N48" s="180"/>
      <c r="O48" s="180"/>
      <c r="P48" s="180"/>
      <c r="Q48" s="180"/>
    </row>
    <row r="49" spans="1:17" ht="41.4" customHeight="1">
      <c r="A49" s="180"/>
      <c r="B49" s="16" t="s">
        <v>193</v>
      </c>
      <c r="C49" s="16" t="s">
        <v>198</v>
      </c>
      <c r="D49" s="17" t="str">
        <f>Agriculture!C70</f>
        <v>Plus de 50 000 kilomètres linéaires nets de haies plantées entre 2020 et 2030.</v>
      </c>
      <c r="E49" s="180"/>
      <c r="F49" s="180"/>
      <c r="G49" s="180"/>
      <c r="H49" s="180"/>
      <c r="I49" s="180"/>
      <c r="J49" s="180"/>
      <c r="K49" s="180"/>
      <c r="L49" s="180"/>
      <c r="M49" s="180"/>
      <c r="N49" s="180"/>
      <c r="O49" s="180"/>
      <c r="P49" s="180"/>
      <c r="Q49" s="180"/>
    </row>
    <row r="50" spans="1:17" ht="68.400000000000006" customHeight="1">
      <c r="A50" s="180"/>
      <c r="B50" s="16" t="s">
        <v>193</v>
      </c>
      <c r="C50" s="16" t="s">
        <v>198</v>
      </c>
      <c r="D50" s="17" t="str">
        <f>Agriculture!C71</f>
        <v>Agroforesterie : augmentation significative des surfaces d’agroforesterie intraparcellaire d’ici 2030 pour atteindre 100 000 ha sur prairies et terres arables.</v>
      </c>
      <c r="E50" s="180"/>
      <c r="F50" s="180"/>
      <c r="G50" s="180"/>
      <c r="H50" s="180"/>
      <c r="I50" s="180"/>
      <c r="J50" s="180"/>
      <c r="K50" s="180"/>
      <c r="L50" s="180"/>
      <c r="M50" s="180"/>
      <c r="N50" s="180"/>
      <c r="O50" s="180"/>
      <c r="P50" s="180"/>
      <c r="Q50" s="180"/>
    </row>
    <row r="51" spans="1:17" ht="52.95" customHeight="1">
      <c r="A51" s="180"/>
      <c r="B51" s="16" t="s">
        <v>139</v>
      </c>
      <c r="C51" s="16" t="s">
        <v>199</v>
      </c>
      <c r="D51" s="17" t="str">
        <f>Déchets!C34</f>
        <v xml:space="preserve">Réduire de 5% le volume de déchets des activités économiques par unité de valeur produite en 2030 vs 2010 (loi AGEC) </v>
      </c>
      <c r="E51" s="180"/>
      <c r="F51" s="180"/>
      <c r="G51" s="180"/>
      <c r="H51" s="180"/>
      <c r="I51" s="180"/>
      <c r="J51" s="180"/>
      <c r="K51" s="180"/>
      <c r="L51" s="180"/>
      <c r="M51" s="180"/>
      <c r="N51" s="180"/>
      <c r="O51" s="180"/>
      <c r="P51" s="180"/>
      <c r="Q51" s="180"/>
    </row>
    <row r="52" spans="1:17" ht="52.95" customHeight="1">
      <c r="A52" s="180"/>
      <c r="B52" s="16" t="s">
        <v>139</v>
      </c>
      <c r="C52" s="16" t="s">
        <v>199</v>
      </c>
      <c r="D52" s="17" t="str">
        <f>Déchets!C35</f>
        <v>Réduire de moitié le volume de gaspillage alimentaire en restauration collective en 2025 vs 2015</v>
      </c>
      <c r="E52" s="180"/>
      <c r="F52" s="180"/>
      <c r="G52" s="180"/>
      <c r="H52" s="180"/>
      <c r="I52" s="180"/>
      <c r="J52" s="180"/>
      <c r="K52" s="180"/>
      <c r="L52" s="180"/>
      <c r="M52" s="180"/>
      <c r="N52" s="180"/>
      <c r="O52" s="180"/>
      <c r="P52" s="180"/>
      <c r="Q52" s="180"/>
    </row>
    <row r="53" spans="1:17" ht="56.4" customHeight="1">
      <c r="A53" s="180"/>
      <c r="B53" s="16" t="s">
        <v>139</v>
      </c>
      <c r="C53" s="16" t="s">
        <v>200</v>
      </c>
      <c r="D53" s="17" t="str">
        <f>Déchets!C36</f>
        <v>Le taux de captage du biométhane dans les installations de stockage des déchets non-dangereux (ISDND) passe de 47 % en 2020 à 85 % en 2030.</v>
      </c>
      <c r="E53" s="180"/>
      <c r="F53" s="180"/>
      <c r="G53" s="180"/>
      <c r="H53" s="180"/>
      <c r="I53" s="180"/>
      <c r="J53" s="180"/>
      <c r="K53" s="180"/>
      <c r="L53" s="180"/>
      <c r="M53" s="180"/>
      <c r="N53" s="180"/>
      <c r="O53" s="180"/>
      <c r="P53" s="180"/>
      <c r="Q53" s="180"/>
    </row>
    <row r="54" spans="1:17" ht="46.2" customHeight="1">
      <c r="A54" s="180"/>
      <c r="B54" s="16" t="s">
        <v>139</v>
      </c>
      <c r="C54" s="16" t="s">
        <v>200</v>
      </c>
      <c r="D54" s="17" t="str">
        <f>Déchets!C37</f>
        <v>Le taux de valorisation du biométhane capté passe de 77 % à 85 %</v>
      </c>
      <c r="E54" s="180"/>
      <c r="F54" s="180"/>
      <c r="G54" s="180"/>
      <c r="H54" s="180"/>
      <c r="I54" s="180"/>
      <c r="J54" s="180"/>
      <c r="K54" s="180"/>
      <c r="L54" s="180"/>
      <c r="M54" s="180"/>
      <c r="N54" s="180"/>
      <c r="O54" s="180"/>
      <c r="P54" s="180"/>
      <c r="Q54" s="180"/>
    </row>
    <row r="55" spans="1:17" ht="41.4" customHeight="1">
      <c r="A55" s="180"/>
      <c r="B55" s="16" t="s">
        <v>87</v>
      </c>
      <c r="C55" s="16" t="s">
        <v>201</v>
      </c>
      <c r="D55" s="17" t="str">
        <f>Energie!C66</f>
        <v>Mix électrique à 96% décarboné en 2030 (61% nucléaire, 35% énergies renouvelables)</v>
      </c>
      <c r="E55" s="180"/>
      <c r="F55" s="180"/>
      <c r="G55" s="180"/>
      <c r="H55" s="180"/>
      <c r="I55" s="180"/>
      <c r="J55" s="180"/>
      <c r="K55" s="180"/>
      <c r="L55" s="180"/>
      <c r="M55" s="180"/>
      <c r="N55" s="180"/>
      <c r="O55" s="180"/>
      <c r="P55" s="180"/>
      <c r="Q55" s="180"/>
    </row>
    <row r="56" spans="1:17" ht="42" customHeight="1">
      <c r="A56" s="180"/>
      <c r="B56" s="16" t="s">
        <v>87</v>
      </c>
      <c r="C56" s="16" t="s">
        <v>201</v>
      </c>
      <c r="D56" s="17" t="str">
        <f>Energie!C67</f>
        <v>Fin de la production d’électricité à partir de charbon en 2027</v>
      </c>
      <c r="E56" s="180"/>
      <c r="F56" s="180"/>
      <c r="G56" s="180"/>
      <c r="H56" s="180"/>
      <c r="I56" s="180"/>
      <c r="J56" s="180"/>
      <c r="K56" s="180"/>
      <c r="L56" s="180"/>
      <c r="M56" s="180"/>
      <c r="N56" s="180"/>
      <c r="O56" s="180"/>
      <c r="P56" s="180"/>
      <c r="Q56" s="180"/>
    </row>
    <row r="57" spans="1:17" ht="54" customHeight="1">
      <c r="A57" s="180"/>
      <c r="B57" s="16" t="s">
        <v>87</v>
      </c>
      <c r="C57" s="16" t="s">
        <v>202</v>
      </c>
      <c r="D57" s="17" t="str">
        <f>Energie!C68</f>
        <v xml:space="preserve">Les quantités de chaleur livrées par les réseaux devront comporter 75 % de chaleur EnR&amp;R en 2030 puis 80 % de chaleur ENR&amp;R en 2035. </v>
      </c>
      <c r="E57" s="180"/>
      <c r="F57" s="180"/>
      <c r="G57" s="180"/>
      <c r="H57" s="180"/>
      <c r="I57" s="180"/>
      <c r="J57" s="180"/>
      <c r="K57" s="180"/>
      <c r="L57" s="180"/>
      <c r="M57" s="180"/>
      <c r="N57" s="180"/>
      <c r="O57" s="180"/>
      <c r="P57" s="180"/>
      <c r="Q57" s="180"/>
    </row>
    <row r="58" spans="1:17" ht="49.95" customHeight="1">
      <c r="A58" s="180"/>
      <c r="B58" s="16" t="s">
        <v>87</v>
      </c>
      <c r="C58" s="16" t="s">
        <v>203</v>
      </c>
      <c r="D58" s="17" t="str">
        <f>Energie!C69</f>
        <v xml:space="preserve">Production d’hydrogène à partir d’électrolyse pour l’intégralité des nouvelles capacités de production </v>
      </c>
      <c r="E58" s="180"/>
      <c r="F58" s="180"/>
      <c r="G58" s="180"/>
      <c r="H58" s="180"/>
      <c r="I58" s="180"/>
      <c r="J58" s="180"/>
      <c r="K58" s="180"/>
      <c r="L58" s="180"/>
      <c r="M58" s="180"/>
      <c r="N58" s="180"/>
      <c r="O58" s="180"/>
      <c r="P58" s="180"/>
      <c r="Q58" s="180"/>
    </row>
    <row r="59" spans="1:17" ht="67.95" customHeight="1">
      <c r="A59" s="180"/>
      <c r="B59" s="16" t="s">
        <v>87</v>
      </c>
      <c r="C59" s="16" t="s">
        <v>204</v>
      </c>
      <c r="D59" s="17" t="str">
        <f>Energie!C70</f>
        <v>L’activité de raffinage baisse à mesure que l’usage des produits pétroliers diminue en France (-31 % de quantités raffinées en 2030 par rapport à 2019).</v>
      </c>
      <c r="E59" s="180"/>
      <c r="F59" s="180"/>
      <c r="G59" s="180"/>
      <c r="H59" s="180"/>
      <c r="I59" s="180"/>
      <c r="J59" s="180"/>
      <c r="K59" s="180"/>
      <c r="L59" s="180"/>
      <c r="M59" s="180"/>
      <c r="N59" s="180"/>
      <c r="O59" s="180"/>
      <c r="P59" s="180"/>
      <c r="Q59" s="180"/>
    </row>
    <row r="60" spans="1:17" ht="61.95" customHeight="1">
      <c r="A60" s="180"/>
      <c r="B60" s="16" t="s">
        <v>205</v>
      </c>
      <c r="C60" s="16" t="s">
        <v>206</v>
      </c>
      <c r="D60" s="17" t="str">
        <f>UTCATF!C43</f>
        <v xml:space="preserve">Plantation d’un milliard d’arbres et renouvellement forestier de l’ordre de 10% de la surface forestière mis en place lors des 10 prochaines années. </v>
      </c>
      <c r="E60" s="180"/>
      <c r="F60" s="180"/>
      <c r="G60" s="180"/>
      <c r="H60" s="180"/>
      <c r="I60" s="180"/>
      <c r="J60" s="180"/>
      <c r="K60" s="180"/>
      <c r="L60" s="180"/>
      <c r="M60" s="180"/>
      <c r="N60" s="180"/>
      <c r="O60" s="180"/>
      <c r="P60" s="180"/>
      <c r="Q60" s="180"/>
    </row>
    <row r="61" spans="1:17" ht="60.6" customHeight="1">
      <c r="A61" s="180"/>
      <c r="B61" s="16" t="s">
        <v>205</v>
      </c>
      <c r="C61" s="16" t="s">
        <v>206</v>
      </c>
      <c r="D61" s="17" t="str">
        <f>UTCATF!C44</f>
        <v>Le boisement hors forêt passe de 100 ha/an en 2021 à 15 000 ha/an à horizon 2030</v>
      </c>
      <c r="E61" s="180"/>
      <c r="F61" s="180"/>
      <c r="G61" s="180"/>
      <c r="H61" s="180"/>
      <c r="I61" s="180"/>
      <c r="J61" s="180"/>
      <c r="K61" s="180"/>
      <c r="L61" s="180"/>
      <c r="M61" s="180"/>
      <c r="N61" s="180"/>
      <c r="O61" s="180"/>
      <c r="P61" s="180"/>
      <c r="Q61" s="180"/>
    </row>
    <row r="62" spans="1:17" ht="64.2" customHeight="1">
      <c r="A62" s="180"/>
      <c r="B62" s="16" t="s">
        <v>205</v>
      </c>
      <c r="C62" s="16" t="s">
        <v>207</v>
      </c>
      <c r="D62" s="17" t="str">
        <f>UTCATF!C45</f>
        <v xml:space="preserve"> Les durées de demi-vie des charpentes atteignent 50 ans, des parquets/lambris 30 ans, des panneaux 25 ans et du papier 7 ans. </v>
      </c>
      <c r="E62" s="180"/>
      <c r="F62" s="180"/>
      <c r="G62" s="180"/>
      <c r="H62" s="180"/>
      <c r="I62" s="180"/>
      <c r="J62" s="180"/>
      <c r="K62" s="180"/>
      <c r="L62" s="180"/>
      <c r="M62" s="180"/>
      <c r="N62" s="180"/>
      <c r="O62" s="180"/>
      <c r="P62" s="180"/>
      <c r="Q62" s="180"/>
    </row>
    <row r="63" spans="1:17" ht="63" customHeight="1">
      <c r="A63" s="180"/>
      <c r="B63" s="16" t="s">
        <v>205</v>
      </c>
      <c r="C63" s="16" t="s">
        <v>207</v>
      </c>
      <c r="D63" s="17" t="str">
        <f>UTCATF!C46</f>
        <v>Le taux d’incorporation des matières premières recyclées dans les panneaux augmente : 50 % en 2030 contre 40% en 2021.</v>
      </c>
      <c r="E63" s="180"/>
      <c r="F63" s="180"/>
      <c r="G63" s="180"/>
      <c r="H63" s="180"/>
      <c r="I63" s="180"/>
      <c r="J63" s="180"/>
      <c r="K63" s="180"/>
      <c r="L63" s="180"/>
      <c r="M63" s="180"/>
      <c r="N63" s="180"/>
      <c r="O63" s="180"/>
      <c r="P63" s="180"/>
      <c r="Q63" s="180"/>
    </row>
    <row r="64" spans="1:17" ht="55.2" customHeight="1">
      <c r="A64" s="180"/>
      <c r="B64" s="16" t="s">
        <v>205</v>
      </c>
      <c r="C64" s="16" t="s">
        <v>207</v>
      </c>
      <c r="D64" s="17" t="str">
        <f>UTCATF!C47</f>
        <v xml:space="preserve">La part de récolte transformée en produits de « sciage » passe de 9,5 % actuellement à 12 % en 2030. </v>
      </c>
      <c r="E64" s="180"/>
      <c r="F64" s="180"/>
      <c r="G64" s="180"/>
      <c r="H64" s="180"/>
      <c r="I64" s="180"/>
      <c r="J64" s="180"/>
      <c r="K64" s="180"/>
      <c r="L64" s="180"/>
      <c r="M64" s="180"/>
      <c r="N64" s="180"/>
      <c r="O64" s="180"/>
      <c r="P64" s="180"/>
      <c r="Q64" s="180"/>
    </row>
    <row r="65" spans="1:17" ht="60.6" customHeight="1">
      <c r="A65" s="180"/>
      <c r="B65" s="16" t="s">
        <v>205</v>
      </c>
      <c r="C65" s="16" t="s">
        <v>207</v>
      </c>
      <c r="D65" s="17" t="str">
        <f>UTCATF!C48</f>
        <v xml:space="preserve">La part de récolte entrant dans le compartiment « panneaux et isolants » passe de 13 % actuellement à 18 % en 2030. </v>
      </c>
      <c r="E65" s="180"/>
      <c r="F65" s="180"/>
      <c r="G65" s="180"/>
      <c r="H65" s="180"/>
      <c r="I65" s="180"/>
      <c r="J65" s="180"/>
      <c r="K65" s="180"/>
      <c r="L65" s="180"/>
      <c r="M65" s="180"/>
      <c r="N65" s="180"/>
      <c r="O65" s="180"/>
      <c r="P65" s="180"/>
      <c r="Q65" s="180"/>
    </row>
    <row r="66" spans="1:17" ht="60.6" customHeight="1">
      <c r="A66" s="180"/>
      <c r="B66" s="16" t="s">
        <v>205</v>
      </c>
      <c r="C66" s="16" t="s">
        <v>208</v>
      </c>
      <c r="D66" s="17" t="str">
        <f>UTCATF!C49</f>
        <v>L’artificialisation liée aux surfaces commerciales est divisée par 10 et celle liée au logement par 2 en 10 ans.</v>
      </c>
      <c r="E66" s="180"/>
      <c r="F66" s="180"/>
      <c r="G66" s="180"/>
      <c r="H66" s="180"/>
      <c r="I66" s="180"/>
      <c r="J66" s="180"/>
      <c r="K66" s="180"/>
      <c r="L66" s="180"/>
      <c r="M66" s="180"/>
      <c r="N66" s="180"/>
      <c r="O66" s="180"/>
      <c r="P66" s="180"/>
      <c r="Q66" s="180"/>
    </row>
    <row r="67" spans="1:17">
      <c r="A67" s="180"/>
      <c r="B67" s="180"/>
      <c r="C67" s="180"/>
      <c r="D67" s="180"/>
      <c r="E67" s="180"/>
      <c r="F67" s="180"/>
      <c r="G67" s="180"/>
      <c r="H67" s="180"/>
      <c r="I67" s="180"/>
      <c r="J67" s="180"/>
      <c r="K67" s="180"/>
      <c r="L67" s="180"/>
      <c r="M67" s="180"/>
      <c r="N67" s="180"/>
      <c r="O67" s="180"/>
      <c r="P67" s="180"/>
      <c r="Q67" s="180"/>
    </row>
    <row r="68" spans="1:17">
      <c r="A68" s="180"/>
      <c r="B68" s="180"/>
      <c r="C68" s="180"/>
      <c r="D68" s="180"/>
      <c r="E68" s="180"/>
      <c r="F68" s="180"/>
      <c r="G68" s="180"/>
      <c r="H68" s="180"/>
      <c r="I68" s="180"/>
      <c r="J68" s="180"/>
      <c r="K68" s="180"/>
      <c r="L68" s="180"/>
      <c r="M68" s="180"/>
      <c r="N68" s="180"/>
      <c r="O68" s="180"/>
      <c r="P68" s="180"/>
      <c r="Q68" s="180"/>
    </row>
    <row r="69" spans="1:17">
      <c r="A69" s="180"/>
      <c r="B69" s="180"/>
      <c r="C69" s="180"/>
      <c r="D69" s="180"/>
      <c r="E69" s="180"/>
      <c r="F69" s="180"/>
      <c r="G69" s="180"/>
      <c r="H69" s="180"/>
      <c r="I69" s="180"/>
      <c r="J69" s="180"/>
      <c r="K69" s="180"/>
      <c r="L69" s="180"/>
      <c r="M69" s="180"/>
      <c r="N69" s="180"/>
      <c r="O69" s="180"/>
      <c r="P69" s="180"/>
      <c r="Q69" s="180"/>
    </row>
    <row r="70" spans="1:17">
      <c r="A70" s="180"/>
      <c r="B70" s="180"/>
      <c r="C70" s="180"/>
      <c r="D70" s="180"/>
      <c r="E70" s="180"/>
      <c r="F70" s="180"/>
      <c r="G70" s="180"/>
      <c r="H70" s="180"/>
      <c r="I70" s="180"/>
      <c r="J70" s="180"/>
      <c r="K70" s="180"/>
      <c r="L70" s="180"/>
      <c r="M70" s="180"/>
      <c r="N70" s="180"/>
      <c r="O70" s="180"/>
      <c r="P70" s="180"/>
      <c r="Q70" s="180"/>
    </row>
    <row r="71" spans="1:17">
      <c r="A71" s="180"/>
      <c r="B71" s="180"/>
      <c r="C71" s="180"/>
      <c r="D71" s="180"/>
      <c r="E71" s="180"/>
      <c r="F71" s="180"/>
      <c r="G71" s="180"/>
      <c r="H71" s="180"/>
      <c r="I71" s="180"/>
      <c r="J71" s="180"/>
      <c r="K71" s="180"/>
      <c r="L71" s="180"/>
      <c r="M71" s="180"/>
      <c r="N71" s="180"/>
      <c r="O71" s="180"/>
      <c r="P71" s="180"/>
      <c r="Q71" s="180"/>
    </row>
    <row r="72" spans="1:17">
      <c r="A72" s="180"/>
      <c r="B72" s="180"/>
      <c r="C72" s="180"/>
      <c r="D72" s="180"/>
      <c r="E72" s="180"/>
      <c r="F72" s="180"/>
      <c r="G72" s="180"/>
      <c r="H72" s="180"/>
      <c r="I72" s="180"/>
      <c r="J72" s="180"/>
      <c r="K72" s="180"/>
      <c r="L72" s="180"/>
      <c r="M72" s="180"/>
      <c r="N72" s="180"/>
      <c r="O72" s="180"/>
      <c r="P72" s="180"/>
      <c r="Q72" s="180"/>
    </row>
    <row r="73" spans="1:17">
      <c r="A73" s="180"/>
      <c r="B73" s="180"/>
      <c r="C73" s="180"/>
      <c r="D73" s="180"/>
      <c r="E73" s="180"/>
      <c r="F73" s="180"/>
      <c r="G73" s="180"/>
      <c r="H73" s="180"/>
      <c r="I73" s="180"/>
      <c r="J73" s="180"/>
      <c r="K73" s="180"/>
      <c r="L73" s="180"/>
      <c r="M73" s="180"/>
      <c r="N73" s="180"/>
      <c r="O73" s="180"/>
      <c r="P73" s="180"/>
      <c r="Q73" s="180"/>
    </row>
    <row r="74" spans="1:17">
      <c r="A74" s="180"/>
      <c r="B74" s="180"/>
      <c r="C74" s="180"/>
      <c r="D74" s="180"/>
      <c r="E74" s="180"/>
      <c r="F74" s="180"/>
      <c r="G74" s="180"/>
      <c r="H74" s="180"/>
      <c r="I74" s="180"/>
      <c r="J74" s="180"/>
      <c r="K74" s="180"/>
      <c r="L74" s="180"/>
      <c r="M74" s="180"/>
      <c r="N74" s="180"/>
      <c r="O74" s="180"/>
      <c r="P74" s="180"/>
      <c r="Q74" s="180"/>
    </row>
    <row r="75" spans="1:17">
      <c r="A75" s="180"/>
      <c r="B75" s="180"/>
      <c r="C75" s="180"/>
      <c r="D75" s="180"/>
      <c r="E75" s="180"/>
      <c r="F75" s="180"/>
      <c r="G75" s="180"/>
      <c r="H75" s="180"/>
      <c r="I75" s="180"/>
      <c r="J75" s="180"/>
      <c r="K75" s="180"/>
      <c r="L75" s="180"/>
      <c r="M75" s="180"/>
      <c r="N75" s="180"/>
      <c r="O75" s="180"/>
      <c r="P75" s="180"/>
      <c r="Q75" s="180"/>
    </row>
    <row r="76" spans="1:17">
      <c r="A76" s="180"/>
      <c r="B76" s="180"/>
      <c r="C76" s="180"/>
      <c r="D76" s="180"/>
      <c r="E76" s="180"/>
      <c r="F76" s="180"/>
      <c r="G76" s="180"/>
      <c r="H76" s="180"/>
      <c r="I76" s="180"/>
      <c r="J76" s="180"/>
      <c r="K76" s="180"/>
      <c r="L76" s="180"/>
      <c r="M76" s="180"/>
      <c r="N76" s="180"/>
      <c r="O76" s="180"/>
      <c r="P76" s="180"/>
      <c r="Q76" s="180"/>
    </row>
    <row r="77" spans="1:17">
      <c r="A77" s="180"/>
      <c r="B77" s="180"/>
      <c r="C77" s="180"/>
      <c r="D77" s="180"/>
      <c r="E77" s="180"/>
      <c r="F77" s="180"/>
      <c r="G77" s="180"/>
      <c r="H77" s="180"/>
      <c r="I77" s="180"/>
      <c r="J77" s="180"/>
      <c r="K77" s="180"/>
      <c r="L77" s="180"/>
      <c r="M77" s="180"/>
      <c r="N77" s="180"/>
      <c r="O77" s="180"/>
      <c r="P77" s="180"/>
      <c r="Q77" s="180"/>
    </row>
    <row r="78" spans="1:17">
      <c r="A78" s="180"/>
      <c r="B78" s="180"/>
      <c r="C78" s="180"/>
      <c r="D78" s="180"/>
      <c r="E78" s="180"/>
      <c r="F78" s="180"/>
      <c r="G78" s="180"/>
      <c r="H78" s="180"/>
      <c r="I78" s="180"/>
      <c r="J78" s="180"/>
      <c r="K78" s="180"/>
      <c r="L78" s="180"/>
      <c r="M78" s="180"/>
      <c r="N78" s="180"/>
      <c r="O78" s="180"/>
      <c r="P78" s="180"/>
      <c r="Q78" s="180"/>
    </row>
    <row r="79" spans="1:17">
      <c r="A79" s="180"/>
      <c r="B79" s="180"/>
      <c r="C79" s="180"/>
      <c r="D79" s="180"/>
      <c r="E79" s="180"/>
      <c r="F79" s="180"/>
      <c r="G79" s="180"/>
      <c r="H79" s="180"/>
      <c r="I79" s="180"/>
      <c r="J79" s="180"/>
      <c r="K79" s="180"/>
      <c r="L79" s="180"/>
      <c r="M79" s="180"/>
      <c r="N79" s="180"/>
      <c r="O79" s="180"/>
      <c r="P79" s="180"/>
      <c r="Q79" s="180"/>
    </row>
    <row r="80" spans="1:17">
      <c r="A80" s="180"/>
      <c r="B80" s="180"/>
      <c r="C80" s="180"/>
      <c r="D80" s="180"/>
      <c r="E80" s="180"/>
      <c r="F80" s="180"/>
      <c r="G80" s="180"/>
      <c r="H80" s="180"/>
      <c r="I80" s="180"/>
      <c r="J80" s="180"/>
      <c r="K80" s="180"/>
      <c r="L80" s="180"/>
      <c r="M80" s="180"/>
      <c r="N80" s="180"/>
      <c r="O80" s="180"/>
      <c r="P80" s="180"/>
      <c r="Q80" s="180"/>
    </row>
    <row r="81" spans="1:17">
      <c r="A81" s="180"/>
      <c r="B81" s="180"/>
      <c r="C81" s="180"/>
      <c r="D81" s="180"/>
      <c r="E81" s="180"/>
      <c r="F81" s="180"/>
      <c r="G81" s="180"/>
      <c r="H81" s="180"/>
      <c r="I81" s="180"/>
      <c r="J81" s="180"/>
      <c r="K81" s="180"/>
      <c r="L81" s="180"/>
      <c r="M81" s="180"/>
      <c r="N81" s="180"/>
      <c r="O81" s="180"/>
      <c r="P81" s="180"/>
      <c r="Q81" s="180"/>
    </row>
    <row r="82" spans="1:17">
      <c r="A82" s="180"/>
      <c r="B82" s="180"/>
      <c r="C82" s="180"/>
      <c r="D82" s="180"/>
      <c r="E82" s="180"/>
      <c r="F82" s="180"/>
      <c r="G82" s="180"/>
      <c r="H82" s="180"/>
      <c r="I82" s="180"/>
      <c r="J82" s="180"/>
      <c r="K82" s="180"/>
      <c r="L82" s="180"/>
      <c r="M82" s="180"/>
      <c r="N82" s="180"/>
      <c r="O82" s="180"/>
      <c r="P82" s="180"/>
      <c r="Q82" s="180"/>
    </row>
    <row r="83" spans="1:17">
      <c r="A83" s="180"/>
      <c r="B83" s="180"/>
      <c r="C83" s="180"/>
      <c r="D83" s="180"/>
      <c r="E83" s="180"/>
      <c r="F83" s="180"/>
      <c r="G83" s="180"/>
      <c r="H83" s="180"/>
      <c r="I83" s="180"/>
      <c r="J83" s="180"/>
      <c r="K83" s="180"/>
      <c r="L83" s="180"/>
      <c r="M83" s="180"/>
      <c r="N83" s="180"/>
      <c r="O83" s="180"/>
      <c r="P83" s="180"/>
      <c r="Q83" s="180"/>
    </row>
    <row r="84" spans="1:17">
      <c r="A84" s="180"/>
      <c r="B84" s="180"/>
      <c r="C84" s="180"/>
      <c r="D84" s="180"/>
      <c r="E84" s="180"/>
      <c r="F84" s="180"/>
      <c r="G84" s="180"/>
      <c r="H84" s="180"/>
      <c r="I84" s="180"/>
      <c r="J84" s="180"/>
      <c r="K84" s="180"/>
      <c r="L84" s="180"/>
      <c r="M84" s="180"/>
      <c r="N84" s="180"/>
      <c r="O84" s="180"/>
      <c r="P84" s="180"/>
      <c r="Q84" s="180"/>
    </row>
    <row r="85" spans="1:17">
      <c r="A85" s="180"/>
      <c r="B85" s="180"/>
      <c r="C85" s="180"/>
      <c r="D85" s="180"/>
      <c r="E85" s="180"/>
      <c r="F85" s="180"/>
      <c r="G85" s="180"/>
      <c r="H85" s="180"/>
      <c r="I85" s="180"/>
      <c r="J85" s="180"/>
      <c r="K85" s="180"/>
      <c r="L85" s="180"/>
      <c r="M85" s="180"/>
      <c r="N85" s="180"/>
      <c r="O85" s="180"/>
      <c r="P85" s="180"/>
      <c r="Q85" s="180"/>
    </row>
    <row r="86" spans="1:17">
      <c r="A86" s="180"/>
      <c r="B86" s="180"/>
      <c r="C86" s="180"/>
      <c r="D86" s="180"/>
      <c r="E86" s="180"/>
      <c r="F86" s="180"/>
      <c r="G86" s="180"/>
      <c r="H86" s="180"/>
      <c r="I86" s="180"/>
      <c r="J86" s="180"/>
      <c r="K86" s="180"/>
      <c r="L86" s="180"/>
      <c r="M86" s="180"/>
      <c r="N86" s="180"/>
      <c r="O86" s="180"/>
      <c r="P86" s="180"/>
      <c r="Q86" s="180"/>
    </row>
    <row r="87" spans="1:17">
      <c r="A87" s="180"/>
      <c r="B87" s="180"/>
      <c r="C87" s="180"/>
      <c r="D87" s="180"/>
      <c r="E87" s="180"/>
      <c r="F87" s="180"/>
      <c r="G87" s="180"/>
      <c r="H87" s="180"/>
      <c r="I87" s="180"/>
      <c r="J87" s="180"/>
      <c r="K87" s="180"/>
      <c r="L87" s="180"/>
      <c r="M87" s="180"/>
      <c r="N87" s="180"/>
      <c r="O87" s="180"/>
      <c r="P87" s="180"/>
      <c r="Q87" s="180"/>
    </row>
    <row r="88" spans="1:17">
      <c r="A88" s="180"/>
      <c r="B88" s="180"/>
      <c r="C88" s="180"/>
      <c r="D88" s="180"/>
      <c r="E88" s="180"/>
      <c r="F88" s="180"/>
      <c r="G88" s="180"/>
      <c r="H88" s="180"/>
      <c r="I88" s="180"/>
      <c r="J88" s="180"/>
      <c r="K88" s="180"/>
      <c r="L88" s="180"/>
      <c r="M88" s="180"/>
      <c r="N88" s="180"/>
      <c r="O88" s="180"/>
      <c r="P88" s="180"/>
      <c r="Q88" s="180"/>
    </row>
    <row r="89" spans="1:17">
      <c r="A89" s="180"/>
      <c r="B89" s="180"/>
      <c r="C89" s="180"/>
      <c r="D89" s="180"/>
      <c r="E89" s="180"/>
      <c r="F89" s="180"/>
      <c r="G89" s="180"/>
      <c r="H89" s="180"/>
      <c r="I89" s="180"/>
      <c r="J89" s="180"/>
      <c r="K89" s="180"/>
      <c r="L89" s="180"/>
      <c r="M89" s="180"/>
      <c r="N89" s="180"/>
      <c r="O89" s="180"/>
      <c r="P89" s="180"/>
      <c r="Q89" s="180"/>
    </row>
    <row r="90" spans="1:17">
      <c r="A90" s="180"/>
      <c r="B90" s="180"/>
      <c r="C90" s="180"/>
      <c r="D90" s="180"/>
      <c r="E90" s="180"/>
      <c r="F90" s="180"/>
      <c r="G90" s="180"/>
      <c r="H90" s="180"/>
      <c r="I90" s="180"/>
      <c r="J90" s="180"/>
      <c r="K90" s="180"/>
      <c r="L90" s="180"/>
      <c r="M90" s="180"/>
      <c r="N90" s="180"/>
      <c r="O90" s="180"/>
      <c r="P90" s="180"/>
      <c r="Q90" s="180"/>
    </row>
    <row r="91" spans="1:17">
      <c r="A91" s="180"/>
      <c r="B91" s="180"/>
      <c r="C91" s="180"/>
      <c r="D91" s="180"/>
      <c r="E91" s="180"/>
      <c r="F91" s="180"/>
      <c r="G91" s="180"/>
      <c r="H91" s="180"/>
      <c r="I91" s="180"/>
      <c r="J91" s="180"/>
      <c r="K91" s="180"/>
      <c r="L91" s="180"/>
      <c r="M91" s="180"/>
      <c r="N91" s="180"/>
      <c r="O91" s="180"/>
      <c r="P91" s="180"/>
      <c r="Q91" s="180"/>
    </row>
    <row r="92" spans="1:17">
      <c r="A92" s="180"/>
      <c r="B92" s="180"/>
      <c r="C92" s="180"/>
      <c r="D92" s="180"/>
      <c r="E92" s="180"/>
      <c r="F92" s="180"/>
      <c r="G92" s="180"/>
      <c r="H92" s="180"/>
      <c r="I92" s="180"/>
      <c r="J92" s="180"/>
      <c r="K92" s="180"/>
      <c r="L92" s="180"/>
      <c r="M92" s="180"/>
      <c r="N92" s="180"/>
      <c r="O92" s="180"/>
      <c r="P92" s="180"/>
      <c r="Q92" s="180"/>
    </row>
    <row r="93" spans="1:17">
      <c r="A93" s="180"/>
      <c r="B93" s="180"/>
      <c r="C93" s="180"/>
      <c r="D93" s="180"/>
      <c r="E93" s="180"/>
      <c r="F93" s="180"/>
      <c r="G93" s="180"/>
      <c r="H93" s="180"/>
      <c r="I93" s="180"/>
      <c r="J93" s="180"/>
      <c r="K93" s="180"/>
      <c r="L93" s="180"/>
      <c r="M93" s="180"/>
      <c r="N93" s="180"/>
      <c r="O93" s="180"/>
      <c r="P93" s="180"/>
      <c r="Q93" s="180"/>
    </row>
    <row r="94" spans="1:17">
      <c r="A94" s="180"/>
      <c r="B94" s="180"/>
      <c r="C94" s="180"/>
      <c r="D94" s="180"/>
      <c r="E94" s="180"/>
      <c r="F94" s="180"/>
      <c r="G94" s="180"/>
      <c r="H94" s="180"/>
      <c r="I94" s="180"/>
      <c r="J94" s="180"/>
      <c r="K94" s="180"/>
      <c r="L94" s="180"/>
      <c r="M94" s="180"/>
      <c r="N94" s="180"/>
      <c r="O94" s="180"/>
      <c r="P94" s="180"/>
      <c r="Q94" s="180"/>
    </row>
    <row r="95" spans="1:17">
      <c r="A95" s="180"/>
      <c r="B95" s="180"/>
      <c r="C95" s="180"/>
      <c r="D95" s="180"/>
      <c r="E95" s="180"/>
      <c r="F95" s="180"/>
      <c r="G95" s="180"/>
      <c r="H95" s="180"/>
      <c r="I95" s="180"/>
      <c r="J95" s="180"/>
      <c r="K95" s="180"/>
      <c r="L95" s="180"/>
      <c r="M95" s="180"/>
      <c r="N95" s="180"/>
      <c r="O95" s="180"/>
      <c r="P95" s="180"/>
      <c r="Q95" s="180"/>
    </row>
    <row r="96" spans="1:17">
      <c r="A96" s="180"/>
      <c r="B96" s="180"/>
      <c r="C96" s="180"/>
      <c r="D96" s="180"/>
      <c r="E96" s="180"/>
      <c r="F96" s="180"/>
      <c r="G96" s="180"/>
      <c r="H96" s="180"/>
      <c r="I96" s="180"/>
      <c r="J96" s="180"/>
      <c r="K96" s="180"/>
      <c r="L96" s="180"/>
      <c r="M96" s="180"/>
      <c r="N96" s="180"/>
      <c r="O96" s="180"/>
      <c r="P96" s="180"/>
      <c r="Q96" s="180"/>
    </row>
    <row r="97" spans="1:17">
      <c r="A97" s="180"/>
      <c r="B97" s="180"/>
      <c r="C97" s="180"/>
      <c r="D97" s="180"/>
      <c r="E97" s="180"/>
      <c r="F97" s="180"/>
      <c r="G97" s="180"/>
      <c r="H97" s="180"/>
      <c r="I97" s="180"/>
      <c r="J97" s="180"/>
      <c r="K97" s="180"/>
      <c r="L97" s="180"/>
      <c r="M97" s="180"/>
      <c r="N97" s="180"/>
      <c r="O97" s="180"/>
      <c r="P97" s="180"/>
      <c r="Q97" s="180"/>
    </row>
    <row r="98" spans="1:17">
      <c r="A98" s="180"/>
      <c r="B98" s="180"/>
      <c r="C98" s="180"/>
      <c r="D98" s="180"/>
      <c r="E98" s="180"/>
      <c r="F98" s="180"/>
      <c r="G98" s="180"/>
      <c r="H98" s="180"/>
      <c r="I98" s="180"/>
      <c r="J98" s="180"/>
      <c r="K98" s="180"/>
      <c r="L98" s="180"/>
      <c r="M98" s="180"/>
      <c r="N98" s="180"/>
      <c r="O98" s="180"/>
      <c r="P98" s="180"/>
      <c r="Q98" s="180"/>
    </row>
    <row r="99" spans="1:17">
      <c r="A99" s="180"/>
      <c r="B99" s="180"/>
      <c r="C99" s="180"/>
      <c r="D99" s="180"/>
      <c r="E99" s="180"/>
      <c r="F99" s="180"/>
      <c r="G99" s="180"/>
      <c r="H99" s="180"/>
      <c r="I99" s="180"/>
      <c r="J99" s="180"/>
      <c r="K99" s="180"/>
      <c r="L99" s="180"/>
      <c r="M99" s="180"/>
      <c r="N99" s="180"/>
      <c r="O99" s="180"/>
      <c r="P99" s="180"/>
      <c r="Q99" s="180"/>
    </row>
    <row r="100" spans="1:17">
      <c r="A100" s="180"/>
      <c r="B100" s="180"/>
      <c r="C100" s="180"/>
      <c r="D100" s="180"/>
      <c r="E100" s="180"/>
      <c r="F100" s="180"/>
      <c r="G100" s="180"/>
      <c r="H100" s="180"/>
      <c r="I100" s="180"/>
      <c r="J100" s="180"/>
      <c r="K100" s="180"/>
      <c r="L100" s="180"/>
      <c r="M100" s="180"/>
      <c r="N100" s="180"/>
      <c r="O100" s="180"/>
      <c r="P100" s="180"/>
      <c r="Q100" s="180"/>
    </row>
    <row r="101" spans="1:17">
      <c r="A101" s="180"/>
      <c r="B101" s="180"/>
      <c r="C101" s="180"/>
      <c r="D101" s="180"/>
      <c r="E101" s="180"/>
      <c r="F101" s="180"/>
      <c r="G101" s="180"/>
      <c r="H101" s="180"/>
      <c r="I101" s="180"/>
      <c r="J101" s="180"/>
      <c r="K101" s="180"/>
      <c r="L101" s="180"/>
      <c r="M101" s="180"/>
      <c r="N101" s="180"/>
      <c r="O101" s="180"/>
      <c r="P101" s="180"/>
      <c r="Q101" s="180"/>
    </row>
    <row r="102" spans="1:17">
      <c r="A102" s="180"/>
      <c r="B102" s="180"/>
      <c r="C102" s="180"/>
      <c r="D102" s="180"/>
      <c r="E102" s="180"/>
      <c r="F102" s="180"/>
      <c r="G102" s="180"/>
      <c r="H102" s="180"/>
      <c r="I102" s="180"/>
      <c r="J102" s="180"/>
      <c r="K102" s="180"/>
      <c r="L102" s="180"/>
      <c r="M102" s="180"/>
      <c r="N102" s="180"/>
      <c r="O102" s="180"/>
      <c r="P102" s="180"/>
      <c r="Q102" s="180"/>
    </row>
    <row r="103" spans="1:17">
      <c r="A103" s="180"/>
      <c r="B103" s="180"/>
      <c r="C103" s="180"/>
      <c r="D103" s="180"/>
      <c r="E103" s="180"/>
      <c r="F103" s="180"/>
      <c r="G103" s="180"/>
      <c r="H103" s="180"/>
      <c r="I103" s="180"/>
      <c r="J103" s="180"/>
      <c r="K103" s="180"/>
      <c r="L103" s="180"/>
      <c r="M103" s="180"/>
      <c r="N103" s="180"/>
      <c r="O103" s="180"/>
      <c r="P103" s="180"/>
      <c r="Q103" s="180"/>
    </row>
    <row r="104" spans="1:17">
      <c r="A104" s="180"/>
      <c r="B104" s="180"/>
      <c r="C104" s="180"/>
      <c r="D104" s="180"/>
      <c r="E104" s="180"/>
      <c r="F104" s="180"/>
      <c r="G104" s="180"/>
      <c r="H104" s="180"/>
      <c r="I104" s="180"/>
      <c r="J104" s="180"/>
      <c r="K104" s="180"/>
      <c r="L104" s="180"/>
      <c r="M104" s="180"/>
      <c r="N104" s="180"/>
      <c r="O104" s="180"/>
      <c r="P104" s="180"/>
      <c r="Q104" s="180"/>
    </row>
    <row r="105" spans="1:17">
      <c r="A105" s="180"/>
      <c r="B105" s="180"/>
      <c r="C105" s="180"/>
      <c r="D105" s="180"/>
      <c r="E105" s="180"/>
      <c r="F105" s="180"/>
      <c r="G105" s="180"/>
      <c r="H105" s="180"/>
      <c r="I105" s="180"/>
      <c r="J105" s="180"/>
      <c r="K105" s="180"/>
      <c r="L105" s="180"/>
      <c r="M105" s="180"/>
      <c r="N105" s="180"/>
      <c r="O105" s="180"/>
      <c r="P105" s="180"/>
      <c r="Q105" s="180"/>
    </row>
    <row r="106" spans="1:17">
      <c r="A106" s="180"/>
      <c r="B106" s="180"/>
      <c r="C106" s="180"/>
      <c r="D106" s="180"/>
      <c r="E106" s="180"/>
      <c r="F106" s="180"/>
      <c r="G106" s="180"/>
      <c r="H106" s="180"/>
      <c r="I106" s="180"/>
      <c r="J106" s="180"/>
      <c r="K106" s="180"/>
      <c r="L106" s="180"/>
      <c r="M106" s="180"/>
      <c r="N106" s="180"/>
      <c r="O106" s="180"/>
      <c r="P106" s="180"/>
      <c r="Q106" s="180"/>
    </row>
    <row r="107" spans="1:17">
      <c r="A107" s="180"/>
      <c r="B107" s="180"/>
      <c r="C107" s="180"/>
      <c r="D107" s="180"/>
      <c r="E107" s="180"/>
      <c r="F107" s="180"/>
      <c r="G107" s="180"/>
      <c r="H107" s="180"/>
      <c r="I107" s="180"/>
      <c r="J107" s="180"/>
      <c r="K107" s="180"/>
      <c r="L107" s="180"/>
      <c r="M107" s="180"/>
      <c r="N107" s="180"/>
      <c r="O107" s="180"/>
      <c r="P107" s="180"/>
      <c r="Q107" s="180"/>
    </row>
    <row r="108" spans="1:17">
      <c r="A108" s="180"/>
      <c r="B108" s="180"/>
      <c r="C108" s="180"/>
      <c r="D108" s="180"/>
      <c r="E108" s="180"/>
      <c r="F108" s="180"/>
      <c r="G108" s="180"/>
      <c r="H108" s="180"/>
      <c r="I108" s="180"/>
      <c r="J108" s="180"/>
      <c r="K108" s="180"/>
      <c r="L108" s="180"/>
      <c r="M108" s="180"/>
      <c r="N108" s="180"/>
      <c r="O108" s="180"/>
      <c r="P108" s="180"/>
      <c r="Q108" s="180"/>
    </row>
    <row r="109" spans="1:17">
      <c r="A109" s="180"/>
      <c r="B109" s="180"/>
      <c r="C109" s="180"/>
      <c r="D109" s="180"/>
      <c r="E109" s="180"/>
      <c r="F109" s="180"/>
      <c r="G109" s="180"/>
      <c r="H109" s="180"/>
      <c r="I109" s="180"/>
      <c r="J109" s="180"/>
      <c r="K109" s="180"/>
      <c r="L109" s="180"/>
      <c r="M109" s="180"/>
      <c r="N109" s="180"/>
      <c r="O109" s="180"/>
      <c r="P109" s="180"/>
      <c r="Q109" s="180"/>
    </row>
    <row r="110" spans="1:17">
      <c r="A110" s="180"/>
      <c r="B110" s="180"/>
      <c r="C110" s="180"/>
      <c r="D110" s="180"/>
      <c r="E110" s="180"/>
      <c r="F110" s="180"/>
      <c r="G110" s="180"/>
      <c r="H110" s="180"/>
      <c r="I110" s="180"/>
      <c r="J110" s="180"/>
      <c r="K110" s="180"/>
      <c r="L110" s="180"/>
      <c r="M110" s="180"/>
      <c r="N110" s="180"/>
      <c r="O110" s="180"/>
      <c r="P110" s="180"/>
      <c r="Q110" s="180"/>
    </row>
    <row r="111" spans="1:17">
      <c r="A111" s="180"/>
      <c r="B111" s="180"/>
      <c r="C111" s="180"/>
      <c r="D111" s="180"/>
      <c r="E111" s="180"/>
      <c r="F111" s="180"/>
      <c r="G111" s="180"/>
      <c r="H111" s="180"/>
      <c r="I111" s="180"/>
      <c r="J111" s="180"/>
      <c r="K111" s="180"/>
      <c r="L111" s="180"/>
      <c r="M111" s="180"/>
      <c r="N111" s="180"/>
      <c r="O111" s="180"/>
      <c r="P111" s="180"/>
      <c r="Q111" s="180"/>
    </row>
    <row r="112" spans="1:17">
      <c r="A112" s="180"/>
      <c r="B112" s="180"/>
      <c r="C112" s="180"/>
      <c r="D112" s="180"/>
      <c r="E112" s="180"/>
      <c r="F112" s="180"/>
      <c r="G112" s="180"/>
      <c r="H112" s="180"/>
      <c r="I112" s="180"/>
      <c r="J112" s="180"/>
      <c r="K112" s="180"/>
      <c r="L112" s="180"/>
      <c r="M112" s="180"/>
      <c r="N112" s="180"/>
      <c r="O112" s="180"/>
      <c r="P112" s="180"/>
      <c r="Q112" s="180"/>
    </row>
    <row r="113" spans="1:17">
      <c r="A113" s="180"/>
      <c r="B113" s="180"/>
      <c r="C113" s="180"/>
      <c r="D113" s="180"/>
      <c r="E113" s="180"/>
      <c r="F113" s="180"/>
      <c r="G113" s="180"/>
      <c r="H113" s="180"/>
      <c r="I113" s="180"/>
      <c r="J113" s="180"/>
      <c r="K113" s="180"/>
      <c r="L113" s="180"/>
      <c r="M113" s="180"/>
      <c r="N113" s="180"/>
      <c r="O113" s="180"/>
      <c r="P113" s="180"/>
      <c r="Q113" s="180"/>
    </row>
    <row r="114" spans="1:17">
      <c r="A114" s="180"/>
      <c r="B114" s="180"/>
      <c r="C114" s="180"/>
      <c r="D114" s="180"/>
      <c r="E114" s="180"/>
      <c r="F114" s="180"/>
      <c r="G114" s="180"/>
      <c r="H114" s="180"/>
      <c r="I114" s="180"/>
      <c r="J114" s="180"/>
      <c r="K114" s="180"/>
      <c r="L114" s="180"/>
      <c r="M114" s="180"/>
      <c r="N114" s="180"/>
      <c r="O114" s="180"/>
      <c r="P114" s="180"/>
      <c r="Q114" s="180"/>
    </row>
    <row r="115" spans="1:17">
      <c r="A115" s="180"/>
      <c r="B115" s="180"/>
      <c r="C115" s="180"/>
      <c r="D115" s="180"/>
      <c r="E115" s="180"/>
      <c r="F115" s="180"/>
      <c r="G115" s="180"/>
      <c r="H115" s="180"/>
      <c r="I115" s="180"/>
      <c r="J115" s="180"/>
      <c r="K115" s="180"/>
      <c r="L115" s="180"/>
      <c r="M115" s="180"/>
      <c r="N115" s="180"/>
      <c r="O115" s="180"/>
      <c r="P115" s="180"/>
      <c r="Q115" s="180"/>
    </row>
    <row r="116" spans="1:17">
      <c r="A116" s="180"/>
      <c r="B116" s="180"/>
      <c r="C116" s="180"/>
      <c r="D116" s="180"/>
      <c r="E116" s="180"/>
      <c r="F116" s="180"/>
      <c r="G116" s="180"/>
      <c r="H116" s="180"/>
      <c r="I116" s="180"/>
      <c r="J116" s="180"/>
      <c r="K116" s="180"/>
      <c r="L116" s="180"/>
      <c r="M116" s="180"/>
      <c r="N116" s="180"/>
      <c r="O116" s="180"/>
      <c r="P116" s="180"/>
      <c r="Q116" s="180"/>
    </row>
    <row r="117" spans="1:17">
      <c r="A117" s="180"/>
      <c r="B117" s="180"/>
      <c r="C117" s="180"/>
      <c r="D117" s="180"/>
      <c r="E117" s="180"/>
      <c r="F117" s="180"/>
      <c r="G117" s="180"/>
      <c r="H117" s="180"/>
      <c r="I117" s="180"/>
      <c r="J117" s="180"/>
      <c r="K117" s="180"/>
      <c r="L117" s="180"/>
      <c r="M117" s="180"/>
      <c r="N117" s="180"/>
      <c r="O117" s="180"/>
      <c r="P117" s="180"/>
      <c r="Q117" s="180"/>
    </row>
    <row r="118" spans="1:17">
      <c r="A118" s="180"/>
      <c r="B118" s="180"/>
      <c r="C118" s="180"/>
      <c r="D118" s="180"/>
      <c r="E118" s="180"/>
      <c r="F118" s="180"/>
      <c r="G118" s="180"/>
      <c r="H118" s="180"/>
      <c r="I118" s="180"/>
      <c r="J118" s="180"/>
      <c r="K118" s="180"/>
      <c r="L118" s="180"/>
      <c r="M118" s="180"/>
      <c r="N118" s="180"/>
      <c r="O118" s="180"/>
      <c r="P118" s="180"/>
      <c r="Q118" s="180"/>
    </row>
    <row r="119" spans="1:17">
      <c r="A119" s="180"/>
      <c r="B119" s="180"/>
      <c r="C119" s="180"/>
      <c r="D119" s="180"/>
      <c r="E119" s="180"/>
      <c r="F119" s="180"/>
      <c r="G119" s="180"/>
      <c r="H119" s="180"/>
      <c r="I119" s="180"/>
      <c r="J119" s="180"/>
      <c r="K119" s="180"/>
      <c r="L119" s="180"/>
      <c r="M119" s="180"/>
      <c r="N119" s="180"/>
      <c r="O119" s="180"/>
      <c r="P119" s="180"/>
      <c r="Q119" s="180"/>
    </row>
    <row r="120" spans="1:17">
      <c r="A120" s="180"/>
      <c r="B120" s="180"/>
      <c r="C120" s="180"/>
      <c r="D120" s="180"/>
      <c r="E120" s="180"/>
      <c r="F120" s="180"/>
      <c r="G120" s="180"/>
      <c r="H120" s="180"/>
      <c r="I120" s="180"/>
      <c r="J120" s="180"/>
      <c r="K120" s="180"/>
      <c r="L120" s="180"/>
      <c r="M120" s="180"/>
      <c r="N120" s="180"/>
      <c r="O120" s="180"/>
      <c r="P120" s="180"/>
      <c r="Q120" s="180"/>
    </row>
    <row r="121" spans="1:17">
      <c r="A121" s="180"/>
      <c r="B121" s="180"/>
      <c r="C121" s="180"/>
      <c r="D121" s="180"/>
      <c r="E121" s="180"/>
      <c r="F121" s="180"/>
      <c r="G121" s="180"/>
      <c r="H121" s="180"/>
      <c r="I121" s="180"/>
      <c r="J121" s="180"/>
      <c r="K121" s="180"/>
      <c r="L121" s="180"/>
      <c r="M121" s="180"/>
      <c r="N121" s="180"/>
      <c r="O121" s="180"/>
      <c r="P121" s="180"/>
      <c r="Q121" s="180"/>
    </row>
    <row r="122" spans="1:17">
      <c r="A122" s="180"/>
      <c r="B122" s="180"/>
      <c r="C122" s="180"/>
      <c r="D122" s="180"/>
      <c r="E122" s="180"/>
      <c r="F122" s="180"/>
      <c r="G122" s="180"/>
      <c r="H122" s="180"/>
      <c r="I122" s="180"/>
      <c r="J122" s="180"/>
      <c r="K122" s="180"/>
      <c r="L122" s="180"/>
      <c r="M122" s="180"/>
      <c r="N122" s="180"/>
      <c r="O122" s="180"/>
      <c r="P122" s="180"/>
      <c r="Q122" s="180"/>
    </row>
    <row r="123" spans="1:17">
      <c r="A123" s="180"/>
      <c r="E123" s="180"/>
      <c r="F123" s="180"/>
      <c r="G123" s="180"/>
      <c r="H123" s="180"/>
      <c r="I123" s="180"/>
      <c r="J123" s="180"/>
      <c r="K123" s="180"/>
      <c r="L123" s="180"/>
      <c r="M123" s="180"/>
      <c r="N123" s="180"/>
      <c r="O123" s="180"/>
      <c r="P123" s="180"/>
      <c r="Q123" s="180"/>
    </row>
    <row r="124" spans="1:17">
      <c r="A124" s="180"/>
      <c r="E124" s="180"/>
      <c r="F124" s="180"/>
      <c r="G124" s="180"/>
      <c r="H124" s="180"/>
      <c r="I124" s="180"/>
      <c r="J124" s="180"/>
      <c r="K124" s="180"/>
      <c r="L124" s="180"/>
      <c r="M124" s="180"/>
      <c r="N124" s="180"/>
      <c r="O124" s="180"/>
      <c r="P124" s="180"/>
      <c r="Q124" s="180"/>
    </row>
    <row r="125" spans="1:17">
      <c r="A125" s="180"/>
      <c r="E125" s="180"/>
      <c r="F125" s="180"/>
      <c r="G125" s="180"/>
      <c r="H125" s="180"/>
      <c r="I125" s="180"/>
      <c r="J125" s="180"/>
      <c r="K125" s="180"/>
      <c r="L125" s="180"/>
      <c r="M125" s="180"/>
      <c r="N125" s="180"/>
      <c r="O125" s="180"/>
      <c r="P125" s="180"/>
      <c r="Q125" s="180"/>
    </row>
    <row r="126" spans="1:17">
      <c r="A126" s="180"/>
      <c r="E126" s="180"/>
      <c r="F126" s="180"/>
      <c r="G126" s="180"/>
      <c r="H126" s="180"/>
      <c r="I126" s="180"/>
      <c r="J126" s="180"/>
      <c r="K126" s="180"/>
      <c r="L126" s="180"/>
      <c r="M126" s="180"/>
      <c r="N126" s="180"/>
      <c r="O126" s="180"/>
      <c r="P126" s="180"/>
      <c r="Q126" s="180"/>
    </row>
    <row r="127" spans="1:17">
      <c r="A127" s="180"/>
      <c r="E127" s="180"/>
      <c r="F127" s="180"/>
      <c r="G127" s="180"/>
      <c r="H127" s="180"/>
      <c r="I127" s="180"/>
      <c r="J127" s="180"/>
      <c r="K127" s="180"/>
      <c r="L127" s="180"/>
      <c r="M127" s="180"/>
      <c r="N127" s="180"/>
      <c r="O127" s="180"/>
      <c r="P127" s="180"/>
      <c r="Q127" s="180"/>
    </row>
    <row r="128" spans="1:17">
      <c r="A128" s="180"/>
      <c r="E128" s="180"/>
      <c r="F128" s="180"/>
      <c r="G128" s="180"/>
      <c r="H128" s="180"/>
      <c r="I128" s="180"/>
      <c r="J128" s="180"/>
      <c r="K128" s="180"/>
      <c r="L128" s="180"/>
      <c r="M128" s="180"/>
      <c r="N128" s="180"/>
      <c r="O128" s="180"/>
      <c r="P128" s="180"/>
      <c r="Q128" s="180"/>
    </row>
    <row r="129" spans="1:17">
      <c r="A129" s="180"/>
      <c r="E129" s="180"/>
      <c r="F129" s="180"/>
      <c r="G129" s="180"/>
      <c r="H129" s="180"/>
      <c r="I129" s="180"/>
      <c r="J129" s="180"/>
      <c r="K129" s="180"/>
      <c r="L129" s="180"/>
      <c r="M129" s="180"/>
      <c r="N129" s="180"/>
      <c r="O129" s="180"/>
      <c r="P129" s="180"/>
      <c r="Q129" s="180"/>
    </row>
    <row r="130" spans="1:17">
      <c r="A130" s="180"/>
      <c r="E130" s="180"/>
      <c r="F130" s="180"/>
      <c r="G130" s="180"/>
      <c r="H130" s="180"/>
      <c r="I130" s="180"/>
      <c r="J130" s="180"/>
      <c r="K130" s="180"/>
      <c r="L130" s="180"/>
      <c r="M130" s="180"/>
      <c r="N130" s="180"/>
      <c r="O130" s="180"/>
      <c r="P130" s="180"/>
      <c r="Q130" s="180"/>
    </row>
    <row r="131" spans="1:17">
      <c r="A131" s="180"/>
      <c r="E131" s="180"/>
      <c r="F131" s="180"/>
      <c r="G131" s="180"/>
      <c r="H131" s="180"/>
      <c r="I131" s="180"/>
      <c r="J131" s="180"/>
      <c r="K131" s="180"/>
      <c r="L131" s="180"/>
      <c r="M131" s="180"/>
      <c r="N131" s="180"/>
      <c r="O131" s="180"/>
      <c r="P131" s="180"/>
      <c r="Q131" s="180"/>
    </row>
    <row r="132" spans="1:17">
      <c r="A132" s="180"/>
      <c r="E132" s="180"/>
      <c r="F132" s="180"/>
      <c r="G132" s="180"/>
      <c r="H132" s="180"/>
      <c r="I132" s="180"/>
      <c r="J132" s="180"/>
      <c r="K132" s="180"/>
      <c r="L132" s="180"/>
      <c r="M132" s="180"/>
      <c r="N132" s="180"/>
      <c r="O132" s="180"/>
      <c r="P132" s="180"/>
      <c r="Q132" s="180"/>
    </row>
    <row r="133" spans="1:17">
      <c r="A133" s="180"/>
      <c r="E133" s="180"/>
      <c r="F133" s="180"/>
      <c r="G133" s="180"/>
      <c r="H133" s="180"/>
      <c r="I133" s="180"/>
      <c r="J133" s="180"/>
      <c r="K133" s="180"/>
      <c r="L133" s="180"/>
      <c r="M133" s="180"/>
      <c r="N133" s="180"/>
      <c r="O133" s="180"/>
      <c r="P133" s="180"/>
      <c r="Q133" s="180"/>
    </row>
    <row r="134" spans="1:17">
      <c r="A134" s="180"/>
      <c r="E134" s="180"/>
      <c r="F134" s="180"/>
      <c r="G134" s="180"/>
      <c r="H134" s="180"/>
      <c r="I134" s="180"/>
      <c r="J134" s="180"/>
      <c r="K134" s="180"/>
      <c r="L134" s="180"/>
      <c r="M134" s="180"/>
      <c r="N134" s="180"/>
      <c r="O134" s="180"/>
      <c r="P134" s="180"/>
      <c r="Q134" s="180"/>
    </row>
    <row r="135" spans="1:17">
      <c r="A135" s="180"/>
      <c r="E135" s="180"/>
      <c r="F135" s="180"/>
      <c r="G135" s="180"/>
      <c r="H135" s="180"/>
      <c r="I135" s="180"/>
      <c r="J135" s="180"/>
      <c r="K135" s="180"/>
      <c r="L135" s="180"/>
      <c r="M135" s="180"/>
      <c r="N135" s="180"/>
      <c r="O135" s="180"/>
      <c r="P135" s="180"/>
      <c r="Q135" s="180"/>
    </row>
    <row r="136" spans="1:17">
      <c r="A136" s="180"/>
      <c r="E136" s="180"/>
      <c r="F136" s="180"/>
      <c r="G136" s="180"/>
      <c r="H136" s="180"/>
      <c r="I136" s="180"/>
      <c r="J136" s="180"/>
      <c r="K136" s="180"/>
      <c r="L136" s="180"/>
      <c r="M136" s="180"/>
      <c r="N136" s="180"/>
      <c r="O136" s="180"/>
      <c r="P136" s="180"/>
      <c r="Q136" s="180"/>
    </row>
    <row r="137" spans="1:17">
      <c r="A137" s="180"/>
      <c r="E137" s="180"/>
      <c r="F137" s="180"/>
      <c r="G137" s="180"/>
      <c r="H137" s="180"/>
      <c r="I137" s="180"/>
      <c r="J137" s="180"/>
      <c r="K137" s="180"/>
      <c r="L137" s="180"/>
      <c r="M137" s="180"/>
      <c r="N137" s="180"/>
      <c r="O137" s="180"/>
      <c r="P137" s="180"/>
      <c r="Q137" s="180"/>
    </row>
    <row r="138" spans="1:17">
      <c r="A138" s="180"/>
      <c r="E138" s="180"/>
      <c r="F138" s="180"/>
      <c r="G138" s="180"/>
      <c r="H138" s="180"/>
      <c r="I138" s="180"/>
      <c r="J138" s="180"/>
      <c r="K138" s="180"/>
      <c r="L138" s="180"/>
      <c r="M138" s="180"/>
      <c r="N138" s="180"/>
      <c r="O138" s="180"/>
      <c r="P138" s="180"/>
      <c r="Q138" s="180"/>
    </row>
    <row r="139" spans="1:17">
      <c r="A139" s="180"/>
      <c r="E139" s="180"/>
      <c r="F139" s="180"/>
      <c r="G139" s="180"/>
      <c r="H139" s="180"/>
      <c r="I139" s="180"/>
      <c r="J139" s="180"/>
      <c r="K139" s="180"/>
      <c r="L139" s="180"/>
      <c r="M139" s="180"/>
      <c r="N139" s="180"/>
      <c r="O139" s="180"/>
      <c r="P139" s="180"/>
      <c r="Q139" s="180"/>
    </row>
    <row r="140" spans="1:17">
      <c r="E140" s="180"/>
      <c r="F140" s="180"/>
      <c r="G140" s="180"/>
      <c r="H140" s="180"/>
      <c r="I140" s="180"/>
      <c r="J140" s="180"/>
      <c r="K140" s="180"/>
      <c r="L140" s="180"/>
      <c r="M140" s="180"/>
      <c r="N140" s="180"/>
      <c r="O140" s="180"/>
      <c r="P140" s="180"/>
      <c r="Q140" s="180"/>
    </row>
  </sheetData>
  <autoFilter ref="B2:D66"/>
  <mergeCells count="2">
    <mergeCell ref="F2:G2"/>
    <mergeCell ref="B1:D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256"/>
  <sheetViews>
    <sheetView showGridLines="0" topLeftCell="A46" zoomScale="80" zoomScaleNormal="80" workbookViewId="0">
      <selection activeCell="A50" sqref="A50:XFD61"/>
    </sheetView>
  </sheetViews>
  <sheetFormatPr baseColWidth="10" defaultColWidth="11.44140625" defaultRowHeight="14.4"/>
  <cols>
    <col min="1" max="1" width="13.33203125" customWidth="1"/>
    <col min="2" max="2" width="42.6640625" customWidth="1"/>
    <col min="3" max="3" width="29" customWidth="1"/>
    <col min="4" max="4" width="26.6640625" customWidth="1"/>
    <col min="5" max="5" width="24.5546875" customWidth="1"/>
    <col min="6" max="6" width="26.44140625" customWidth="1"/>
    <col min="7" max="7" width="26.109375" customWidth="1"/>
    <col min="9" max="9" width="17.6640625" customWidth="1"/>
    <col min="10" max="12" width="13.109375" bestFit="1" customWidth="1"/>
    <col min="13" max="13" width="15.88671875" customWidth="1"/>
  </cols>
  <sheetData>
    <row r="3" spans="2:12">
      <c r="B3" s="45" t="s">
        <v>209</v>
      </c>
    </row>
    <row r="6" spans="2:12">
      <c r="B6" s="384" t="s">
        <v>210</v>
      </c>
      <c r="C6" s="384"/>
      <c r="D6" s="384"/>
      <c r="E6" s="384"/>
    </row>
    <row r="7" spans="2:12">
      <c r="B7" s="19"/>
      <c r="C7" s="19"/>
      <c r="D7" s="19"/>
      <c r="E7" s="19"/>
    </row>
    <row r="8" spans="2:12">
      <c r="B8" s="38" t="s">
        <v>211</v>
      </c>
      <c r="C8" s="44"/>
      <c r="D8" s="44"/>
      <c r="E8" s="44"/>
    </row>
    <row r="9" spans="2:12" ht="20.399999999999999" customHeight="1">
      <c r="B9" s="219"/>
      <c r="C9" s="211">
        <f>'Choix années'!$C$4</f>
        <v>2019</v>
      </c>
      <c r="D9" s="211">
        <f>'Choix années'!$C$5</f>
        <v>2030</v>
      </c>
      <c r="E9" s="4"/>
      <c r="G9" s="4"/>
    </row>
    <row r="10" spans="2:12" ht="28.95" customHeight="1">
      <c r="B10" s="237" t="s">
        <v>53</v>
      </c>
      <c r="C10" s="235"/>
      <c r="D10" s="235"/>
    </row>
    <row r="11" spans="2:12" ht="22.95" customHeight="1">
      <c r="B11" s="235" t="s">
        <v>212</v>
      </c>
      <c r="C11" s="218">
        <f>C19+C43+C70</f>
        <v>80.545068120370729</v>
      </c>
      <c r="D11" s="218">
        <f>D19+D43+D70</f>
        <v>38.099121096408105</v>
      </c>
    </row>
    <row r="12" spans="2:12" ht="22.95" customHeight="1">
      <c r="B12" s="209" t="str">
        <f>"% de baisse vs "&amp;TEXT($C$16,"#")</f>
        <v>% de baisse vs 2019</v>
      </c>
      <c r="C12" s="219"/>
      <c r="D12" s="220">
        <f>1-(D11/C11)</f>
        <v>0.52698381185213228</v>
      </c>
      <c r="E12" s="5"/>
      <c r="F12" s="5"/>
    </row>
    <row r="13" spans="2:12" ht="28.2" customHeight="1">
      <c r="B13" s="209" t="str">
        <f>"Variation annuelle moyenne entre "&amp;TEXT($D$16,"#")&amp;" et "&amp;TEXT($C$16,"#")&amp;" "</f>
        <v xml:space="preserve">Variation annuelle moyenne entre 2030 et 2019 </v>
      </c>
      <c r="C13" s="219"/>
      <c r="D13" s="228">
        <f>((D11/C11)^(1/($D$9-$C$9))-1)</f>
        <v>-6.5792664514439547E-2</v>
      </c>
      <c r="E13" s="5"/>
      <c r="F13" s="5"/>
    </row>
    <row r="14" spans="2:12" ht="14.4" customHeight="1">
      <c r="B14" s="43"/>
      <c r="C14" s="40"/>
      <c r="D14" s="39"/>
      <c r="E14" s="39"/>
      <c r="F14" s="5"/>
      <c r="I14" s="28"/>
      <c r="J14" s="28"/>
      <c r="K14" s="28"/>
    </row>
    <row r="15" spans="2:12" ht="14.4" customHeight="1">
      <c r="B15" s="43"/>
      <c r="C15" s="40"/>
      <c r="D15" s="39"/>
      <c r="E15" s="39"/>
      <c r="F15" s="5"/>
      <c r="I15" s="28"/>
      <c r="J15" s="28"/>
      <c r="K15" s="28"/>
    </row>
    <row r="16" spans="2:12" ht="14.4" customHeight="1">
      <c r="B16" s="210" t="s">
        <v>213</v>
      </c>
      <c r="C16" s="211">
        <f>'Choix années'!$C$4</f>
        <v>2019</v>
      </c>
      <c r="D16" s="211">
        <f>'Choix années'!$C$5</f>
        <v>2030</v>
      </c>
      <c r="E16" s="5"/>
      <c r="F16" s="5"/>
      <c r="H16" s="36"/>
      <c r="I16" s="35"/>
      <c r="J16" s="35"/>
      <c r="K16" s="35"/>
      <c r="L16" s="35"/>
    </row>
    <row r="17" spans="2:11" ht="14.4" customHeight="1">
      <c r="B17" s="237"/>
      <c r="C17" s="209"/>
      <c r="D17" s="209"/>
      <c r="E17" s="5"/>
      <c r="F17" s="5"/>
    </row>
    <row r="18" spans="2:11" ht="15" customHeight="1">
      <c r="B18" s="237" t="s">
        <v>132</v>
      </c>
      <c r="C18" s="209"/>
      <c r="D18" s="209"/>
      <c r="E18" s="5"/>
      <c r="F18" s="5"/>
    </row>
    <row r="19" spans="2:11" ht="22.95" customHeight="1">
      <c r="B19" s="209" t="s">
        <v>212</v>
      </c>
      <c r="C19" s="218">
        <f>VLOOKUP("sous-total Usage des bâtiments résidentiels et activités domestiques",'Résultats détaillés GES'!$A$65:$AP$79,MATCH(C$16,'Résultats détaillés GES'!$A$65:$AP$65),FALSE)</f>
        <v>47.23145086473037</v>
      </c>
      <c r="D19" s="218">
        <f>VLOOKUP("sous-total Usage des bâtiments résidentiels et activités domestiques",'Résultats détaillés GES'!$A$65:$AP$79,MATCH(D$16,'Résultats détaillés GES'!$A$65:$AP$65),FALSE)</f>
        <v>22.772790080840771</v>
      </c>
      <c r="E19" s="5"/>
      <c r="F19" s="5"/>
    </row>
    <row r="20" spans="2:11" ht="22.95" customHeight="1">
      <c r="B20" s="209" t="str">
        <f>"% de baisse vs "&amp;TEXT($C$16,"#")</f>
        <v>% de baisse vs 2019</v>
      </c>
      <c r="C20" s="219"/>
      <c r="D20" s="220">
        <f>1-(D19/C19)</f>
        <v>0.51784690785677023</v>
      </c>
      <c r="E20" s="5"/>
      <c r="F20" s="5"/>
      <c r="J20" s="7"/>
      <c r="K20" s="7"/>
    </row>
    <row r="21" spans="2:11" ht="34.950000000000003" customHeight="1">
      <c r="B21" s="209" t="str">
        <f>"Variation annuelle moyenne entre "&amp;TEXT($D$16,"#")&amp;" et "&amp;TEXT($C$16,"#")&amp;" "</f>
        <v xml:space="preserve">Variation annuelle moyenne entre 2030 et 2019 </v>
      </c>
      <c r="C21" s="219"/>
      <c r="D21" s="220">
        <f>((D19/C19)^(1/($D$9-$C$9))-1)</f>
        <v>-6.4166403390601534E-2</v>
      </c>
      <c r="E21" s="5"/>
      <c r="F21" s="5"/>
    </row>
    <row r="22" spans="2:11" ht="27.6" customHeight="1">
      <c r="B22" s="241" t="s">
        <v>214</v>
      </c>
      <c r="C22" s="219"/>
      <c r="D22" s="220"/>
      <c r="E22" s="5"/>
      <c r="F22" s="5"/>
    </row>
    <row r="23" spans="2:11" ht="12.6" customHeight="1">
      <c r="B23" s="216" t="s">
        <v>212</v>
      </c>
      <c r="C23" s="218">
        <f>VLOOKUP(Bâtiment!$B$22,'Résultats détaillés GES'!$A$65:$AP$79,MATCH(C$16,'Résultats détaillés GES'!$A$65:$AP$65),FALSE)</f>
        <v>42.249881963590838</v>
      </c>
      <c r="D23" s="218">
        <f>VLOOKUP(Bâtiment!$B$22,'Résultats détaillés GES'!$A$65:$AP$79,MATCH(D$16,'Résultats détaillés GES'!$A$65:$AP$65),FALSE)</f>
        <v>18.207342319942903</v>
      </c>
      <c r="E23" s="5"/>
      <c r="F23" s="5"/>
    </row>
    <row r="24" spans="2:11" ht="12.6" customHeight="1">
      <c r="B24" s="216" t="str">
        <f>"% de baisse vs "&amp;TEXT($C$16,"#")</f>
        <v>% de baisse vs 2019</v>
      </c>
      <c r="C24" s="219"/>
      <c r="D24" s="220">
        <f>1-(D23/C23)</f>
        <v>0.56905578255500877</v>
      </c>
      <c r="E24" s="5"/>
      <c r="F24" s="5"/>
    </row>
    <row r="25" spans="2:11" ht="31.95" customHeight="1">
      <c r="B25" s="221" t="str">
        <f>"Variation annuelle moyenne entre "&amp;TEXT($D$16,"#")&amp;" et "&amp;TEXT($C$16,"#")&amp;" "</f>
        <v xml:space="preserve">Variation annuelle moyenne entre 2030 et 2019 </v>
      </c>
      <c r="C25" s="219"/>
      <c r="D25" s="220">
        <f>((D23/C23)^(1/($D$9-$C$9))-1)</f>
        <v>-7.3670380931767809E-2</v>
      </c>
      <c r="E25" s="5"/>
      <c r="F25" s="5"/>
    </row>
    <row r="26" spans="2:11" ht="12.6" customHeight="1">
      <c r="B26" s="241" t="s">
        <v>215</v>
      </c>
      <c r="C26" s="219"/>
      <c r="D26" s="220"/>
      <c r="E26" s="5"/>
      <c r="F26" s="5"/>
    </row>
    <row r="27" spans="2:11" ht="12.6" customHeight="1">
      <c r="B27" s="216" t="s">
        <v>212</v>
      </c>
      <c r="C27" s="218">
        <f>VLOOKUP(Bâtiment!$B$26,'Résultats détaillés GES'!$A$65:$AP$79,MATCH(C$16,'Résultats détaillés GES'!$A$65:$AP$65),FALSE)</f>
        <v>1.1251115848828006</v>
      </c>
      <c r="D27" s="218">
        <f>VLOOKUP(Bâtiment!$B$26,'Résultats détaillés GES'!$A$65:$AP$79,MATCH(D$16,'Résultats détaillés GES'!$A$65:$AP$65),FALSE)</f>
        <v>0.90343777142307335</v>
      </c>
      <c r="E27" s="5"/>
      <c r="F27" s="5"/>
    </row>
    <row r="28" spans="2:11" ht="12.6" customHeight="1">
      <c r="B28" s="216" t="str">
        <f>"% de baisse vs "&amp;TEXT($C$16,"#")</f>
        <v>% de baisse vs 2019</v>
      </c>
      <c r="C28" s="219"/>
      <c r="D28" s="220">
        <f>1-(D27/C27)</f>
        <v>0.19702384762380554</v>
      </c>
      <c r="E28" s="5"/>
      <c r="F28" s="5"/>
    </row>
    <row r="29" spans="2:11" ht="25.95" customHeight="1">
      <c r="B29" s="221" t="str">
        <f>"Variation annuelle moyenne entre "&amp;TEXT($D$16,"#")&amp;" et "&amp;TEXT($C$16,"#")&amp;" "</f>
        <v xml:space="preserve">Variation annuelle moyenne entre 2030 et 2019 </v>
      </c>
      <c r="C29" s="219"/>
      <c r="D29" s="220">
        <f>((D27/C27)^(1/($D$9-$C$9))-1)</f>
        <v>-1.9750556757903159E-2</v>
      </c>
      <c r="E29" s="5"/>
      <c r="F29" s="5"/>
    </row>
    <row r="30" spans="2:11" ht="29.4" customHeight="1">
      <c r="B30" s="241" t="s">
        <v>216</v>
      </c>
      <c r="C30" s="219"/>
      <c r="D30" s="220"/>
      <c r="E30" s="5"/>
      <c r="F30" s="5"/>
    </row>
    <row r="31" spans="2:11" ht="12.6" customHeight="1">
      <c r="B31" s="216" t="s">
        <v>212</v>
      </c>
      <c r="C31" s="218">
        <f>VLOOKUP(Bâtiment!$B$30,'Résultats détaillés GES'!$A$65:$AP$79,MATCH(C$16,'Résultats détaillés GES'!$A$65:$AP$65),FALSE)</f>
        <v>0.93162967845828226</v>
      </c>
      <c r="D31" s="218">
        <f>VLOOKUP(Bâtiment!$B$30,'Résultats détaillés GES'!$A$65:$AP$79,MATCH(D$16,'Résultats détaillés GES'!$A$65:$AP$65),FALSE)</f>
        <v>0.87043708374590001</v>
      </c>
      <c r="E31" s="5"/>
      <c r="F31" s="5"/>
    </row>
    <row r="32" spans="2:11" ht="12.6" customHeight="1">
      <c r="B32" s="216" t="str">
        <f>"% de baisse vs "&amp;TEXT($C$16,"#")</f>
        <v>% de baisse vs 2019</v>
      </c>
      <c r="C32" s="219"/>
      <c r="D32" s="220">
        <f>1-(D31/C31)</f>
        <v>6.5683389148408766E-2</v>
      </c>
      <c r="E32" s="5"/>
      <c r="F32" s="5"/>
    </row>
    <row r="33" spans="2:6" ht="26.4" customHeight="1">
      <c r="B33" s="221" t="str">
        <f>"Variation annuelle moyenne entre "&amp;TEXT($D$16,"#")&amp;" et "&amp;TEXT($C$16,"#")&amp;" "</f>
        <v xml:space="preserve">Variation annuelle moyenne entre 2030 et 2019 </v>
      </c>
      <c r="C33" s="219"/>
      <c r="D33" s="220">
        <f>((D31/C31)^(1/($D$9-$C$9))-1)</f>
        <v>-6.1573213780689029E-3</v>
      </c>
      <c r="E33" s="5"/>
      <c r="F33" s="5"/>
    </row>
    <row r="34" spans="2:6" ht="33" customHeight="1">
      <c r="B34" s="241" t="s">
        <v>217</v>
      </c>
      <c r="C34" s="219"/>
      <c r="D34" s="220"/>
      <c r="E34" s="5"/>
      <c r="F34" s="5"/>
    </row>
    <row r="35" spans="2:6" ht="12.6" customHeight="1">
      <c r="B35" s="216" t="s">
        <v>212</v>
      </c>
      <c r="C35" s="242">
        <f>C19-C23-C27-C31</f>
        <v>2.9248276377984492</v>
      </c>
      <c r="D35" s="242">
        <f>D19-D23-D27-D31</f>
        <v>2.7915729057288949</v>
      </c>
      <c r="E35" s="5"/>
      <c r="F35" s="5"/>
    </row>
    <row r="36" spans="2:6" ht="12.6" customHeight="1">
      <c r="B36" s="216" t="str">
        <f>"% de baisse vs "&amp;TEXT($C$16,"#")</f>
        <v>% de baisse vs 2019</v>
      </c>
      <c r="C36" s="219"/>
      <c r="D36" s="220">
        <f>1-(D35/C35)</f>
        <v>4.5559858074186055E-2</v>
      </c>
      <c r="E36" s="5"/>
      <c r="F36" s="5"/>
    </row>
    <row r="37" spans="2:6" ht="26.4" customHeight="1">
      <c r="B37" s="221" t="str">
        <f>"Variation annuelle moyenne entre "&amp;TEXT($D$16,"#")&amp;" et "&amp;TEXT($C$16,"#")&amp;" "</f>
        <v xml:space="preserve">Variation annuelle moyenne entre 2030 et 2019 </v>
      </c>
      <c r="C37" s="219"/>
      <c r="D37" s="220">
        <f>((D35/C35)^(1/($D$9-$C$9))-1)</f>
        <v>-4.2301502594558338E-3</v>
      </c>
      <c r="E37" s="5"/>
      <c r="F37" s="5"/>
    </row>
    <row r="38" spans="2:6" ht="12.6" customHeight="1">
      <c r="B38" s="40"/>
      <c r="C38" s="40"/>
      <c r="D38" s="41"/>
      <c r="E38" s="5"/>
      <c r="F38" s="5"/>
    </row>
    <row r="39" spans="2:6" ht="12.6" customHeight="1">
      <c r="B39" s="40"/>
      <c r="C39" s="40"/>
      <c r="D39" s="41"/>
      <c r="E39" s="5"/>
      <c r="F39" s="5"/>
    </row>
    <row r="40" spans="2:6" ht="12.6" customHeight="1">
      <c r="B40" s="210" t="s">
        <v>218</v>
      </c>
      <c r="C40" s="211">
        <f>C9</f>
        <v>2019</v>
      </c>
      <c r="D40" s="211">
        <f>D16</f>
        <v>2030</v>
      </c>
      <c r="E40" s="5"/>
      <c r="F40" s="5"/>
    </row>
    <row r="41" spans="2:6" ht="12.6" customHeight="1">
      <c r="B41" s="237"/>
      <c r="C41" s="209"/>
      <c r="D41" s="209"/>
      <c r="E41" s="5"/>
      <c r="F41" s="5"/>
    </row>
    <row r="42" spans="2:6" ht="15" customHeight="1">
      <c r="B42" s="237" t="s">
        <v>133</v>
      </c>
      <c r="C42" s="209"/>
      <c r="D42" s="209"/>
      <c r="E42" s="5"/>
      <c r="F42" s="5"/>
    </row>
    <row r="43" spans="2:6" ht="22.95" customHeight="1">
      <c r="B43" s="209" t="s">
        <v>212</v>
      </c>
      <c r="C43" s="218">
        <f>VLOOKUP("Total Usage des bâtiments et activités résidentiels/tertiaires",'Résultats détaillés GES'!$A$65:$AP$79,MATCH(C$16,'Résultats détaillés GES'!$A$65:$AP$65),FALSE)-VLOOKUP("sous-total Usage des bâtiments résidentiels et activités domestiques",'Résultats détaillés GES'!$A$65:$AP$79,MATCH(C$16,'Résultats détaillés GES'!$A$65:$AP$65),FALSE)</f>
        <v>28.806791953076022</v>
      </c>
      <c r="D43" s="218">
        <f>VLOOKUP("Total Usage des bâtiments et activités résidentiels/tertiaires",'Résultats détaillés GES'!$A$65:$AP$79,MATCH(D$16,'Résultats détaillés GES'!$A$65:$AP$65),FALSE)-VLOOKUP("sous-total Usage des bâtiments résidentiels et activités domestiques",'Résultats détaillés GES'!$A$65:$AP$79,MATCH(D$16,'Résultats détaillés GES'!$A$65:$AP$65),FALSE)</f>
        <v>11.993386748210455</v>
      </c>
    </row>
    <row r="44" spans="2:6" ht="22.95" customHeight="1">
      <c r="B44" s="209" t="str">
        <f>"% de baisse vs "&amp;TEXT($C$16,"#")</f>
        <v>% de baisse vs 2019</v>
      </c>
      <c r="C44" s="219"/>
      <c r="D44" s="220">
        <f>1-(D43/C43)</f>
        <v>0.58366114603296571</v>
      </c>
      <c r="E44" s="5"/>
      <c r="F44" s="5"/>
    </row>
    <row r="45" spans="2:6" ht="28.2" customHeight="1">
      <c r="B45" s="209" t="str">
        <f>"Variation annuelle moyenne entre "&amp;TEXT($D$16,"#")&amp;" et "&amp;TEXT($C$16,"#")&amp;" "</f>
        <v xml:space="preserve">Variation annuelle moyenne entre 2030 et 2019 </v>
      </c>
      <c r="C45" s="219"/>
      <c r="D45" s="220">
        <f>((D43/C43)^(1/($D$9-$C$9))-1)</f>
        <v>-7.656938789964296E-2</v>
      </c>
      <c r="E45" s="5"/>
      <c r="F45" s="5"/>
    </row>
    <row r="46" spans="2:6" ht="28.2" customHeight="1">
      <c r="B46" s="241" t="s">
        <v>219</v>
      </c>
      <c r="C46" s="219"/>
      <c r="D46" s="228"/>
      <c r="E46" s="5"/>
      <c r="F46" s="5"/>
    </row>
    <row r="47" spans="2:6" ht="22.95" customHeight="1">
      <c r="B47" s="216" t="s">
        <v>212</v>
      </c>
      <c r="C47" s="218">
        <f>VLOOKUP(Bâtiment!$B$46,'Résultats détaillés GES'!$A$65:$AP$79,MATCH(C$16,'Résultats détaillés GES'!$A$65:$AP$65),FALSE)</f>
        <v>21.687564188399239</v>
      </c>
      <c r="D47" s="218">
        <f>VLOOKUP(Bâtiment!$B$46,'Résultats détaillés GES'!$A$65:$AP$79,MATCH(D$16,'Résultats détaillés GES'!$A$65:$AP$65),FALSE)</f>
        <v>10.309314754380562</v>
      </c>
      <c r="E47" s="5"/>
      <c r="F47" s="5"/>
    </row>
    <row r="48" spans="2:6" ht="22.95" customHeight="1">
      <c r="B48" s="216" t="str">
        <f>"% de baisse vs "&amp;TEXT($C$16,"#")</f>
        <v>% de baisse vs 2019</v>
      </c>
      <c r="C48" s="219"/>
      <c r="D48" s="220">
        <f>1-(D47/C47)</f>
        <v>0.52464395425766375</v>
      </c>
      <c r="E48" s="5"/>
      <c r="F48" s="5"/>
    </row>
    <row r="49" spans="2:6" ht="36" customHeight="1">
      <c r="B49" s="221" t="str">
        <f>"Variation annuelle moyenne entre "&amp;TEXT($D$16,"#")&amp;" et "&amp;TEXT($C$16,"#")&amp;" "</f>
        <v xml:space="preserve">Variation annuelle moyenne entre 2030 et 2019 </v>
      </c>
      <c r="C49" s="219"/>
      <c r="D49" s="220">
        <f>((D47/C47)^(1/($D$9-$C$9))-1)</f>
        <v>-6.5373495207360022E-2</v>
      </c>
      <c r="E49" s="5"/>
      <c r="F49" s="5"/>
    </row>
    <row r="50" spans="2:6" ht="22.95" customHeight="1">
      <c r="B50" s="241" t="s">
        <v>220</v>
      </c>
      <c r="C50" s="219"/>
      <c r="D50" s="228"/>
      <c r="E50" s="5"/>
      <c r="F50" s="5"/>
    </row>
    <row r="51" spans="2:6" ht="22.95" customHeight="1">
      <c r="B51" s="216" t="s">
        <v>212</v>
      </c>
      <c r="C51" s="218">
        <f>VLOOKUP(Bâtiment!$B$50,'Résultats détaillés GES'!$A$65:$AP$79,MATCH(C$16,'Résultats détaillés GES'!$A$65:$AP$65),FALSE)</f>
        <v>1.3991679823718899</v>
      </c>
      <c r="D51" s="218">
        <f>VLOOKUP(Bâtiment!$B$50,'Résultats détaillés GES'!$A$65:$AP$79,MATCH(D$16,'Résultats détaillés GES'!$A$65:$AP$65),FALSE)</f>
        <v>0.44929418500610757</v>
      </c>
      <c r="E51" s="5"/>
      <c r="F51" s="5"/>
    </row>
    <row r="52" spans="2:6" ht="22.95" customHeight="1">
      <c r="B52" s="216" t="str">
        <f>"% de baisse vs "&amp;TEXT($C$16,"#")</f>
        <v>% de baisse vs 2019</v>
      </c>
      <c r="C52" s="219"/>
      <c r="D52" s="220">
        <f>1-(D51/C51)</f>
        <v>0.67888474388582165</v>
      </c>
      <c r="E52" s="5"/>
      <c r="F52" s="5"/>
    </row>
    <row r="53" spans="2:6" ht="31.2" customHeight="1">
      <c r="B53" s="221" t="str">
        <f>"Variation annuelle moyenne entre "&amp;TEXT($D$16,"#")&amp;" et "&amp;TEXT($C$16,"#")&amp;" "</f>
        <v xml:space="preserve">Variation annuelle moyenne entre 2030 et 2019 </v>
      </c>
      <c r="C53" s="219"/>
      <c r="D53" s="220">
        <f>((D51/C51)^(1/($D$9-$C$9))-1)</f>
        <v>-9.8115351770574843E-2</v>
      </c>
      <c r="E53" s="5"/>
      <c r="F53" s="5"/>
    </row>
    <row r="54" spans="2:6" ht="32.4" customHeight="1">
      <c r="B54" s="241" t="s">
        <v>221</v>
      </c>
      <c r="C54" s="219"/>
      <c r="D54" s="228"/>
      <c r="E54" s="5"/>
      <c r="F54" s="5"/>
    </row>
    <row r="55" spans="2:6" ht="22.95" customHeight="1">
      <c r="B55" s="216" t="s">
        <v>212</v>
      </c>
      <c r="C55" s="218">
        <f>VLOOKUP(Bâtiment!$B$54,'Résultats détaillés GES'!$A$65:$AP$79,MATCH(C$16,'Résultats détaillés GES'!$A$65:$AP$65),FALSE)</f>
        <v>0.28035732932360607</v>
      </c>
      <c r="D55" s="218">
        <f>VLOOKUP(Bâtiment!$B$54,'Résultats détaillés GES'!$A$65:$AP$79,MATCH(D$16,'Résultats détaillés GES'!$A$65:$AP$65),FALSE)</f>
        <v>0.22283288985452557</v>
      </c>
      <c r="E55" s="5"/>
      <c r="F55" s="5"/>
    </row>
    <row r="56" spans="2:6" ht="22.95" customHeight="1">
      <c r="B56" s="216" t="str">
        <f>"% de baisse vs "&amp;TEXT($C$16,"#")</f>
        <v>% de baisse vs 2019</v>
      </c>
      <c r="C56" s="219"/>
      <c r="D56" s="220">
        <f>1-(D55/C55)</f>
        <v>0.20518257756223013</v>
      </c>
      <c r="E56" s="5"/>
      <c r="F56" s="5"/>
    </row>
    <row r="57" spans="2:6" ht="33" customHeight="1">
      <c r="B57" s="221" t="str">
        <f>"Variation annuelle moyenne entre "&amp;TEXT($D$16,"#")&amp;" et "&amp;TEXT($C$16,"#")&amp;" "</f>
        <v xml:space="preserve">Variation annuelle moyenne entre 2030 et 2019 </v>
      </c>
      <c r="C57" s="219"/>
      <c r="D57" s="220">
        <f>((D55/C55)^(1/($D$9-$C$9))-1)</f>
        <v>-2.0660214435361146E-2</v>
      </c>
      <c r="E57" s="5"/>
      <c r="F57" s="5"/>
    </row>
    <row r="58" spans="2:6" ht="22.95" customHeight="1">
      <c r="B58" s="241" t="s">
        <v>222</v>
      </c>
      <c r="C58" s="219"/>
      <c r="D58" s="228"/>
      <c r="E58" s="5"/>
      <c r="F58" s="5"/>
    </row>
    <row r="59" spans="2:6" ht="22.95" customHeight="1">
      <c r="B59" s="216" t="s">
        <v>212</v>
      </c>
      <c r="C59" s="218">
        <f>VLOOKUP(Bâtiment!$B$58,'Résultats détaillés GES'!$A$65:$AP$79,MATCH(C$16,'Résultats détaillés GES'!$A$65:$AP$65),FALSE)</f>
        <v>3.81641941878555</v>
      </c>
      <c r="D59" s="218">
        <f>VLOOKUP(Bâtiment!$B$58,'Résultats détaillés GES'!$A$65:$AP$79,MATCH(D$16,'Résultats détaillés GES'!$A$65:$AP$65),FALSE)</f>
        <v>0.91098396094373257</v>
      </c>
      <c r="E59" s="5"/>
      <c r="F59" s="5"/>
    </row>
    <row r="60" spans="2:6" ht="22.95" customHeight="1">
      <c r="B60" s="216" t="str">
        <f>"% de baisse vs "&amp;TEXT($C$16,"#")</f>
        <v>% de baisse vs 2019</v>
      </c>
      <c r="C60" s="219"/>
      <c r="D60" s="220">
        <f>1-(D59/C59)</f>
        <v>0.76129878271250828</v>
      </c>
      <c r="E60" s="5"/>
      <c r="F60" s="5"/>
    </row>
    <row r="61" spans="2:6" ht="34.200000000000003" customHeight="1">
      <c r="B61" s="221" t="str">
        <f>"Variation annuelle moyenne entre "&amp;TEXT($D$16,"#")&amp;" et "&amp;TEXT($C$16,"#")&amp;" "</f>
        <v xml:space="preserve">Variation annuelle moyenne entre 2030 et 2019 </v>
      </c>
      <c r="C61" s="219"/>
      <c r="D61" s="220">
        <f>((D59/C59)^(1/($D$9-$C$9))-1)</f>
        <v>-0.12210751706209044</v>
      </c>
      <c r="E61" s="5"/>
      <c r="F61" s="5"/>
    </row>
    <row r="62" spans="2:6" ht="22.95" customHeight="1">
      <c r="B62" s="241" t="s">
        <v>223</v>
      </c>
      <c r="C62" s="219"/>
      <c r="D62" s="228"/>
      <c r="E62" s="5"/>
      <c r="F62" s="5"/>
    </row>
    <row r="63" spans="2:6" ht="22.95" customHeight="1">
      <c r="B63" s="216" t="s">
        <v>212</v>
      </c>
      <c r="C63" s="218">
        <f>C43-C47-C51-C55-C59</f>
        <v>1.6232830341957367</v>
      </c>
      <c r="D63" s="218">
        <f>D43-D47-D51-D55-D59</f>
        <v>0.10096095802552674</v>
      </c>
      <c r="E63" s="5"/>
      <c r="F63" s="5"/>
    </row>
    <row r="64" spans="2:6" ht="22.95" customHeight="1">
      <c r="B64" s="216" t="str">
        <f>"% de baisse vs "&amp;TEXT($C$16,"#")</f>
        <v>% de baisse vs 2019</v>
      </c>
      <c r="C64" s="219"/>
      <c r="D64" s="220">
        <f>1-(D63/C63)</f>
        <v>0.93780446422545882</v>
      </c>
      <c r="E64" s="5"/>
      <c r="F64" s="5"/>
    </row>
    <row r="65" spans="2:13" ht="39.6" customHeight="1">
      <c r="B65" s="221" t="str">
        <f>"Variation annuelle moyenne entre "&amp;TEXT($D$16,"#")&amp;" et "&amp;TEXT($C$16,"#")&amp;""</f>
        <v>Variation annuelle moyenne entre 2030 et 2019</v>
      </c>
      <c r="C65" s="219"/>
      <c r="D65" s="220">
        <f>((D63/C63)^(1/($D$9-$C$9))-1)</f>
        <v>-0.22314181351444928</v>
      </c>
      <c r="E65" s="5"/>
      <c r="F65" s="5"/>
    </row>
    <row r="66" spans="2:13" ht="22.95" customHeight="1">
      <c r="B66" s="40"/>
      <c r="C66" s="40"/>
      <c r="D66" s="39"/>
      <c r="E66" s="5"/>
      <c r="F66" s="5"/>
    </row>
    <row r="67" spans="2:13" ht="22.95" customHeight="1">
      <c r="B67" s="210" t="s">
        <v>224</v>
      </c>
      <c r="C67" s="211">
        <f>C9</f>
        <v>2019</v>
      </c>
      <c r="D67" s="211">
        <f>D9</f>
        <v>2030</v>
      </c>
      <c r="E67" s="5"/>
      <c r="F67" s="5"/>
    </row>
    <row r="68" spans="2:13" ht="22.95" customHeight="1">
      <c r="B68" s="237"/>
      <c r="C68" s="209"/>
      <c r="D68" s="209"/>
      <c r="E68" s="5"/>
      <c r="F68" s="5"/>
    </row>
    <row r="69" spans="2:13" ht="15" customHeight="1">
      <c r="B69" s="237" t="s">
        <v>105</v>
      </c>
      <c r="C69" s="209"/>
      <c r="D69" s="209"/>
      <c r="E69" s="5"/>
      <c r="F69" s="5"/>
    </row>
    <row r="70" spans="2:13" ht="22.95" customHeight="1">
      <c r="B70" s="209" t="s">
        <v>212</v>
      </c>
      <c r="C70" s="218">
        <f>VLOOKUP(Bâtiment!$B$69,'Résultats détaillés GES'!$A$138:$AP$147,MATCH(C$67,'Résultats détaillés GES'!$A$65:$AP$65),FALSE)</f>
        <v>4.506825302564339</v>
      </c>
      <c r="D70" s="218">
        <f>VLOOKUP(Bâtiment!$B$69,'Résultats détaillés GES'!$A$138:$AP$147,MATCH(D$67,'Résultats détaillés GES'!$A$65:$AP$65),FALSE)</f>
        <v>3.3329442673568779</v>
      </c>
    </row>
    <row r="71" spans="2:13" ht="22.95" customHeight="1">
      <c r="B71" s="209" t="str">
        <f>"% de baisse vs "&amp;TEXT($C$16,"#")</f>
        <v>% de baisse vs 2019</v>
      </c>
      <c r="C71" s="219"/>
      <c r="D71" s="220">
        <f>1-(D70/C70)</f>
        <v>0.26046739254337958</v>
      </c>
      <c r="E71" s="5"/>
      <c r="F71" s="5"/>
    </row>
    <row r="72" spans="2:13" ht="36" customHeight="1">
      <c r="B72" s="209" t="str">
        <f>"Variation annuelle moyenne entre "&amp;TEXT($D$16,"#")&amp;" et "&amp;TEXT($C$16,"#")&amp;" "</f>
        <v xml:space="preserve">Variation annuelle moyenne entre 2030 et 2019 </v>
      </c>
      <c r="C72" s="219"/>
      <c r="D72" s="228">
        <f>((D70/C70)^(1/($D$9-$C$9))-1)</f>
        <v>-2.7057824478602832E-2</v>
      </c>
      <c r="E72" s="5"/>
      <c r="F72" s="5"/>
    </row>
    <row r="73" spans="2:13" ht="15" customHeight="1">
      <c r="D73" s="7"/>
      <c r="E73" s="5"/>
      <c r="F73" s="5"/>
    </row>
    <row r="74" spans="2:13" ht="15" customHeight="1">
      <c r="E74" s="5"/>
      <c r="F74" s="5"/>
      <c r="H74" s="27"/>
      <c r="I74" s="27"/>
      <c r="J74" s="27"/>
    </row>
    <row r="75" spans="2:13" ht="15" customHeight="1">
      <c r="B75" s="245" t="s">
        <v>225</v>
      </c>
      <c r="C75" s="211">
        <v>2019</v>
      </c>
      <c r="D75" s="211">
        <v>2030</v>
      </c>
      <c r="E75" s="5"/>
      <c r="F75" s="5"/>
      <c r="I75" s="36"/>
      <c r="J75" s="36"/>
    </row>
    <row r="76" spans="2:13" ht="15" customHeight="1">
      <c r="B76" s="237" t="s">
        <v>141</v>
      </c>
      <c r="C76" s="235"/>
      <c r="D76" s="235"/>
      <c r="E76" s="5"/>
      <c r="F76" s="5"/>
      <c r="I76" s="36"/>
      <c r="J76" s="36"/>
    </row>
    <row r="77" spans="2:13" ht="22.95" customHeight="1">
      <c r="B77" s="235" t="s">
        <v>212</v>
      </c>
      <c r="C77" s="219">
        <v>16</v>
      </c>
      <c r="D77" s="219">
        <v>8</v>
      </c>
      <c r="I77" s="35"/>
      <c r="J77" s="34"/>
    </row>
    <row r="78" spans="2:13" ht="22.95" customHeight="1">
      <c r="B78" s="209" t="str">
        <f>"% de baisse vs "&amp;TEXT($C$16,"#")</f>
        <v>% de baisse vs 2019</v>
      </c>
      <c r="C78" s="219"/>
      <c r="D78" s="220">
        <f>1-(D77/C77)</f>
        <v>0.5</v>
      </c>
      <c r="E78" s="5"/>
      <c r="F78" s="5"/>
      <c r="I78" s="34"/>
      <c r="J78" s="34"/>
    </row>
    <row r="79" spans="2:13" ht="33" customHeight="1">
      <c r="B79" s="209" t="str">
        <f>"Variation annuelle moyenne entre "&amp;TEXT($D$16,"#")&amp;" et "&amp;TEXT($C$16,"#")&amp;" "</f>
        <v xml:space="preserve">Variation annuelle moyenne entre 2030 et 2019 </v>
      </c>
      <c r="C79" s="219"/>
      <c r="D79" s="228">
        <f>((D77/C77)^(1/($D$9-$C$9))-1)</f>
        <v>-6.1069089338293692E-2</v>
      </c>
      <c r="E79" s="5"/>
      <c r="F79" s="5"/>
      <c r="G79" s="27"/>
      <c r="H79" s="27"/>
      <c r="I79" s="33"/>
      <c r="J79" s="33"/>
      <c r="K79" s="27"/>
      <c r="L79" s="27"/>
      <c r="M79" s="27"/>
    </row>
    <row r="80" spans="2:13">
      <c r="B80" s="19"/>
      <c r="C80" s="32"/>
      <c r="D80" s="30"/>
      <c r="E80" s="30"/>
      <c r="I80" s="27"/>
      <c r="J80" s="27"/>
      <c r="K80" s="27"/>
      <c r="L80" s="27"/>
    </row>
    <row r="81" spans="2:14">
      <c r="B81" s="31"/>
      <c r="C81" s="30"/>
      <c r="D81" s="30"/>
      <c r="E81" s="30"/>
      <c r="F81" s="197"/>
    </row>
    <row r="82" spans="2:14">
      <c r="B82" s="29" t="s">
        <v>226</v>
      </c>
    </row>
    <row r="83" spans="2:14">
      <c r="B83" s="23" t="s">
        <v>227</v>
      </c>
      <c r="C83" t="s">
        <v>228</v>
      </c>
      <c r="I83" s="28"/>
    </row>
    <row r="84" spans="2:14" ht="37.950000000000003" customHeight="1">
      <c r="B84" s="192" t="str">
        <f>"Baisse globale entre "&amp;TEXT($D$16,"#")&amp;" et "&amp;TEXT($C$16,"#")&amp;" "</f>
        <v xml:space="preserve">Baisse globale entre 2030 et 2019 </v>
      </c>
      <c r="C84" s="388">
        <f>D20</f>
        <v>0.51784690785677023</v>
      </c>
      <c r="D84" s="388"/>
      <c r="E84" s="388"/>
    </row>
    <row r="85" spans="2:14" ht="52.2" customHeight="1">
      <c r="B85" s="192" t="s">
        <v>229</v>
      </c>
      <c r="C85" s="380" t="s">
        <v>230</v>
      </c>
      <c r="D85" s="381"/>
      <c r="E85" s="382"/>
    </row>
    <row r="86" spans="2:14" ht="48" customHeight="1">
      <c r="B86" s="193" t="s">
        <v>174</v>
      </c>
      <c r="C86" s="379" t="s">
        <v>231</v>
      </c>
      <c r="D86" s="379"/>
      <c r="E86" s="379"/>
    </row>
    <row r="87" spans="2:14" ht="44.4" customHeight="1">
      <c r="B87" s="390" t="s">
        <v>232</v>
      </c>
      <c r="C87" s="379" t="s">
        <v>233</v>
      </c>
      <c r="D87" s="379"/>
      <c r="E87" s="379"/>
    </row>
    <row r="88" spans="2:14" ht="44.4" customHeight="1">
      <c r="B88" s="390"/>
      <c r="C88" s="379" t="s">
        <v>234</v>
      </c>
      <c r="D88" s="379"/>
      <c r="E88" s="379"/>
    </row>
    <row r="89" spans="2:14" ht="37.950000000000003" customHeight="1">
      <c r="B89" s="193" t="s">
        <v>176</v>
      </c>
      <c r="C89" s="385" t="s">
        <v>235</v>
      </c>
      <c r="D89" s="385"/>
      <c r="E89" s="385"/>
    </row>
    <row r="90" spans="2:14" ht="34.950000000000003" customHeight="1">
      <c r="B90" s="193" t="s">
        <v>177</v>
      </c>
      <c r="C90" s="389" t="s">
        <v>236</v>
      </c>
      <c r="D90" s="389"/>
      <c r="E90" s="389"/>
      <c r="F90" s="24"/>
    </row>
    <row r="91" spans="2:14">
      <c r="B91" s="2"/>
    </row>
    <row r="92" spans="2:14">
      <c r="B92" s="23" t="s">
        <v>237</v>
      </c>
    </row>
    <row r="93" spans="2:14" ht="22.95" customHeight="1">
      <c r="B93" s="192" t="str">
        <f>"Baisse globale entre "&amp;TEXT($D$16,"#")&amp;" et "&amp;TEXT($C$16,"#")&amp;" "</f>
        <v xml:space="preserve">Baisse globale entre 2030 et 2019 </v>
      </c>
      <c r="C93" s="388">
        <f>D44</f>
        <v>0.58366114603296571</v>
      </c>
      <c r="D93" s="388"/>
      <c r="E93" s="388"/>
    </row>
    <row r="94" spans="2:14" s="27" customFormat="1" ht="51" customHeight="1">
      <c r="B94" s="192" t="s">
        <v>229</v>
      </c>
      <c r="C94" s="380" t="s">
        <v>230</v>
      </c>
      <c r="D94" s="381"/>
      <c r="E94" s="382"/>
      <c r="H94"/>
      <c r="I94"/>
      <c r="J94"/>
      <c r="K94"/>
      <c r="L94"/>
      <c r="M94"/>
      <c r="N94"/>
    </row>
    <row r="95" spans="2:14" ht="58.2" customHeight="1">
      <c r="B95" s="193" t="s">
        <v>178</v>
      </c>
      <c r="C95" s="386" t="s">
        <v>238</v>
      </c>
      <c r="D95" s="386"/>
      <c r="E95" s="386"/>
      <c r="F95" s="26"/>
    </row>
    <row r="96" spans="2:14" ht="58.95" customHeight="1">
      <c r="B96" s="387" t="s">
        <v>232</v>
      </c>
      <c r="C96" s="379" t="s">
        <v>239</v>
      </c>
      <c r="D96" s="379"/>
      <c r="E96" s="379"/>
    </row>
    <row r="97" spans="2:6" ht="49.95" customHeight="1">
      <c r="B97" s="387"/>
      <c r="C97" s="379" t="s">
        <v>240</v>
      </c>
      <c r="D97" s="379"/>
      <c r="E97" s="379"/>
    </row>
    <row r="98" spans="2:6" ht="49.95" customHeight="1">
      <c r="B98" s="193" t="s">
        <v>179</v>
      </c>
      <c r="C98" s="379" t="s">
        <v>241</v>
      </c>
      <c r="D98" s="379"/>
      <c r="E98" s="379"/>
    </row>
    <row r="99" spans="2:6" ht="45.45" customHeight="1">
      <c r="B99" s="193" t="s">
        <v>176</v>
      </c>
      <c r="C99" s="385" t="s">
        <v>235</v>
      </c>
      <c r="D99" s="385"/>
      <c r="E99" s="385"/>
    </row>
    <row r="105" spans="2:6">
      <c r="B105" s="45" t="s">
        <v>242</v>
      </c>
    </row>
    <row r="108" spans="2:6">
      <c r="B108" s="1"/>
      <c r="C108" s="156"/>
    </row>
    <row r="109" spans="2:6">
      <c r="B109" s="383" t="s">
        <v>243</v>
      </c>
      <c r="C109" s="383"/>
      <c r="D109" s="383"/>
      <c r="E109" s="383"/>
      <c r="F109" s="383"/>
    </row>
    <row r="110" spans="2:6">
      <c r="B110" s="267" t="s">
        <v>244</v>
      </c>
      <c r="C110" s="274">
        <v>2019</v>
      </c>
      <c r="D110" s="274">
        <v>2030</v>
      </c>
      <c r="E110" s="268" t="s">
        <v>245</v>
      </c>
      <c r="F110" s="268" t="s">
        <v>246</v>
      </c>
    </row>
    <row r="111" spans="2:6">
      <c r="B111" s="275" t="s">
        <v>133</v>
      </c>
      <c r="C111" s="276">
        <v>29.285048254234891</v>
      </c>
      <c r="D111" s="276">
        <v>12.43127833942984</v>
      </c>
      <c r="E111" s="276" t="s">
        <v>247</v>
      </c>
      <c r="F111" s="276" t="s">
        <v>248</v>
      </c>
    </row>
    <row r="112" spans="2:6">
      <c r="B112" s="163" t="s">
        <v>143</v>
      </c>
      <c r="C112" s="276">
        <v>14.110612855007474</v>
      </c>
      <c r="D112" s="276">
        <v>6.5273403950758659</v>
      </c>
      <c r="E112" s="276" t="s">
        <v>247</v>
      </c>
      <c r="F112" s="276" t="s">
        <v>248</v>
      </c>
    </row>
    <row r="113" spans="2:6">
      <c r="B113" s="277" t="s">
        <v>143</v>
      </c>
      <c r="C113" s="276">
        <v>1.3116211860167843</v>
      </c>
      <c r="D113" s="276">
        <v>0.60433662419364131</v>
      </c>
      <c r="E113" s="276" t="s">
        <v>249</v>
      </c>
      <c r="F113" s="276" t="s">
        <v>248</v>
      </c>
    </row>
    <row r="172" spans="8:8">
      <c r="H172" s="20"/>
    </row>
    <row r="173" spans="8:8">
      <c r="H173" s="20"/>
    </row>
    <row r="174" spans="8:8">
      <c r="H174" s="20"/>
    </row>
    <row r="175" spans="8:8">
      <c r="H175" s="20"/>
    </row>
    <row r="176" spans="8:8">
      <c r="H176" s="20"/>
    </row>
    <row r="177" spans="8:8">
      <c r="H177" s="20"/>
    </row>
    <row r="178" spans="8:8">
      <c r="H178" s="20"/>
    </row>
    <row r="179" spans="8:8">
      <c r="H179" s="20"/>
    </row>
    <row r="180" spans="8:8">
      <c r="H180" s="20"/>
    </row>
    <row r="181" spans="8:8">
      <c r="H181" s="20"/>
    </row>
    <row r="182" spans="8:8">
      <c r="H182" s="20"/>
    </row>
    <row r="183" spans="8:8">
      <c r="H183" s="20"/>
    </row>
    <row r="184" spans="8:8">
      <c r="H184" s="20"/>
    </row>
    <row r="185" spans="8:8">
      <c r="H185" s="20"/>
    </row>
    <row r="186" spans="8:8">
      <c r="H186" s="20"/>
    </row>
    <row r="187" spans="8:8">
      <c r="H187" s="20"/>
    </row>
    <row r="188" spans="8:8">
      <c r="H188" s="20"/>
    </row>
    <row r="189" spans="8:8">
      <c r="H189" s="20"/>
    </row>
    <row r="190" spans="8:8">
      <c r="H190" s="20"/>
    </row>
    <row r="191" spans="8:8">
      <c r="H191" s="20"/>
    </row>
    <row r="192" spans="8:8">
      <c r="H192" s="20"/>
    </row>
    <row r="193" spans="8:8">
      <c r="H193" s="20"/>
    </row>
    <row r="194" spans="8:8">
      <c r="H194" s="20"/>
    </row>
    <row r="195" spans="8:8">
      <c r="H195" s="20"/>
    </row>
    <row r="196" spans="8:8">
      <c r="H196" s="20"/>
    </row>
    <row r="197" spans="8:8">
      <c r="H197" s="20"/>
    </row>
    <row r="198" spans="8:8">
      <c r="H198" s="20"/>
    </row>
    <row r="199" spans="8:8">
      <c r="H199" s="20"/>
    </row>
    <row r="200" spans="8:8">
      <c r="H200" s="20"/>
    </row>
    <row r="201" spans="8:8">
      <c r="H201" s="20"/>
    </row>
    <row r="202" spans="8:8">
      <c r="H202" s="20"/>
    </row>
    <row r="203" spans="8:8">
      <c r="H203" s="20"/>
    </row>
    <row r="204" spans="8:8">
      <c r="H204" s="20"/>
    </row>
    <row r="205" spans="8:8">
      <c r="H205" s="20"/>
    </row>
    <row r="206" spans="8:8">
      <c r="H206" s="20"/>
    </row>
    <row r="207" spans="8:8">
      <c r="H207" s="20"/>
    </row>
    <row r="208" spans="8:8">
      <c r="H208" s="20"/>
    </row>
    <row r="209" spans="8:8">
      <c r="H209" s="20"/>
    </row>
    <row r="210" spans="8:8">
      <c r="H210" s="20"/>
    </row>
    <row r="211" spans="8:8">
      <c r="H211" s="20"/>
    </row>
    <row r="212" spans="8:8">
      <c r="H212" s="20"/>
    </row>
    <row r="213" spans="8:8">
      <c r="H213" s="20"/>
    </row>
    <row r="214" spans="8:8">
      <c r="H214" s="20"/>
    </row>
    <row r="215" spans="8:8">
      <c r="H215" s="20"/>
    </row>
    <row r="216" spans="8:8">
      <c r="H216" s="20"/>
    </row>
    <row r="217" spans="8:8">
      <c r="H217" s="20"/>
    </row>
    <row r="218" spans="8:8">
      <c r="H218" s="20"/>
    </row>
    <row r="219" spans="8:8">
      <c r="H219" s="20"/>
    </row>
    <row r="220" spans="8:8">
      <c r="H220" s="20"/>
    </row>
    <row r="221" spans="8:8">
      <c r="H221" s="20"/>
    </row>
    <row r="222" spans="8:8">
      <c r="H222" s="20"/>
    </row>
    <row r="223" spans="8:8">
      <c r="H223" s="20"/>
    </row>
    <row r="224" spans="8:8">
      <c r="H224" s="20"/>
    </row>
    <row r="225" spans="8:8">
      <c r="H225" s="20"/>
    </row>
    <row r="226" spans="8:8">
      <c r="H226" s="20"/>
    </row>
    <row r="227" spans="8:8">
      <c r="H227" s="20"/>
    </row>
    <row r="228" spans="8:8">
      <c r="H228" s="20"/>
    </row>
    <row r="229" spans="8:8">
      <c r="H229" s="20"/>
    </row>
    <row r="230" spans="8:8">
      <c r="H230" s="20"/>
    </row>
    <row r="231" spans="8:8">
      <c r="H231" s="20"/>
    </row>
    <row r="232" spans="8:8">
      <c r="H232" s="20"/>
    </row>
    <row r="233" spans="8:8">
      <c r="H233" s="20"/>
    </row>
    <row r="234" spans="8:8">
      <c r="H234" s="20"/>
    </row>
    <row r="235" spans="8:8">
      <c r="H235" s="20"/>
    </row>
    <row r="236" spans="8:8">
      <c r="H236" s="20"/>
    </row>
    <row r="237" spans="8:8">
      <c r="H237" s="20"/>
    </row>
    <row r="238" spans="8:8">
      <c r="H238" s="20"/>
    </row>
    <row r="239" spans="8:8">
      <c r="H239" s="20"/>
    </row>
    <row r="240" spans="8:8">
      <c r="H240" s="20"/>
    </row>
    <row r="241" spans="8:8">
      <c r="H241" s="20"/>
    </row>
    <row r="242" spans="8:8">
      <c r="H242" s="20"/>
    </row>
    <row r="243" spans="8:8">
      <c r="H243" s="20"/>
    </row>
    <row r="244" spans="8:8">
      <c r="H244" s="20"/>
    </row>
    <row r="245" spans="8:8">
      <c r="H245" s="20"/>
    </row>
    <row r="246" spans="8:8">
      <c r="H246" s="20"/>
    </row>
    <row r="247" spans="8:8">
      <c r="H247" s="20"/>
    </row>
    <row r="248" spans="8:8">
      <c r="H248" s="20"/>
    </row>
    <row r="249" spans="8:8">
      <c r="H249" s="20"/>
    </row>
    <row r="250" spans="8:8">
      <c r="H250" s="20"/>
    </row>
    <row r="251" spans="8:8">
      <c r="H251" s="20"/>
    </row>
    <row r="252" spans="8:8">
      <c r="H252" s="20"/>
    </row>
    <row r="253" spans="8:8">
      <c r="H253" s="20"/>
    </row>
    <row r="254" spans="8:8">
      <c r="H254" s="20"/>
    </row>
    <row r="255" spans="8:8">
      <c r="H255" s="20"/>
    </row>
    <row r="256" spans="8:8">
      <c r="H256" s="20"/>
    </row>
  </sheetData>
  <mergeCells count="18">
    <mergeCell ref="B87:B88"/>
    <mergeCell ref="C88:E88"/>
    <mergeCell ref="C98:E98"/>
    <mergeCell ref="C85:E85"/>
    <mergeCell ref="B109:F109"/>
    <mergeCell ref="B6:E6"/>
    <mergeCell ref="C99:E99"/>
    <mergeCell ref="C97:E97"/>
    <mergeCell ref="C96:E96"/>
    <mergeCell ref="C95:E95"/>
    <mergeCell ref="B96:B97"/>
    <mergeCell ref="C94:E94"/>
    <mergeCell ref="C84:E84"/>
    <mergeCell ref="C93:E93"/>
    <mergeCell ref="C90:E90"/>
    <mergeCell ref="C89:E89"/>
    <mergeCell ref="C87:E87"/>
    <mergeCell ref="C86:E8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126"/>
  <sheetViews>
    <sheetView showGridLines="0" topLeftCell="D85" zoomScale="85" zoomScaleNormal="85" workbookViewId="0">
      <selection activeCell="P87" sqref="P87"/>
    </sheetView>
  </sheetViews>
  <sheetFormatPr baseColWidth="10" defaultColWidth="11.44140625" defaultRowHeight="14.4"/>
  <cols>
    <col min="2" max="2" width="36.44140625" customWidth="1"/>
    <col min="3" max="5" width="30.6640625" customWidth="1"/>
    <col min="6" max="6" width="29.109375" customWidth="1"/>
    <col min="7" max="7" width="30.88671875" customWidth="1"/>
  </cols>
  <sheetData>
    <row r="3" spans="2:6">
      <c r="B3" s="45" t="s">
        <v>209</v>
      </c>
    </row>
    <row r="6" spans="2:6">
      <c r="B6" s="384" t="s">
        <v>210</v>
      </c>
      <c r="C6" s="384"/>
      <c r="D6" s="384"/>
      <c r="E6" s="384"/>
    </row>
    <row r="7" spans="2:6">
      <c r="B7" s="19"/>
      <c r="C7" s="19"/>
      <c r="D7" s="51"/>
      <c r="E7" s="19"/>
    </row>
    <row r="8" spans="2:6" ht="22.95" customHeight="1">
      <c r="B8" s="237" t="s">
        <v>55</v>
      </c>
      <c r="C8" s="238">
        <f>'Choix années'!C4</f>
        <v>2019</v>
      </c>
      <c r="D8" s="238">
        <f>'Choix années'!C5</f>
        <v>2030</v>
      </c>
    </row>
    <row r="9" spans="2:6" ht="22.95" customHeight="1">
      <c r="B9" s="235" t="s">
        <v>212</v>
      </c>
      <c r="C9" s="239">
        <f>C15+C50</f>
        <v>134.37001989682375</v>
      </c>
      <c r="D9" s="239">
        <f>D15+D50</f>
        <v>90.378463001206498</v>
      </c>
    </row>
    <row r="10" spans="2:6">
      <c r="B10" s="209" t="str">
        <f>"% de baisse vs "&amp;TEXT($C$13,"#")</f>
        <v>% de baisse vs 2019</v>
      </c>
      <c r="C10" s="235"/>
      <c r="D10" s="240">
        <f>1-(D9/C9)</f>
        <v>0.32739116158050918</v>
      </c>
    </row>
    <row r="11" spans="2:6" ht="61.95" customHeight="1">
      <c r="D11" s="50"/>
      <c r="E11" s="42"/>
    </row>
    <row r="13" spans="2:6">
      <c r="B13" s="210" t="s">
        <v>250</v>
      </c>
      <c r="C13" s="211">
        <f>C8</f>
        <v>2019</v>
      </c>
      <c r="D13" s="211">
        <f>D8</f>
        <v>2030</v>
      </c>
    </row>
    <row r="14" spans="2:6" ht="43.2" customHeight="1">
      <c r="B14" s="234" t="s">
        <v>56</v>
      </c>
      <c r="C14" s="235"/>
      <c r="D14" s="235"/>
      <c r="E14" s="4"/>
      <c r="F14" s="4"/>
    </row>
    <row r="15" spans="2:6" ht="31.2" customHeight="1">
      <c r="B15" s="235" t="s">
        <v>212</v>
      </c>
      <c r="C15" s="212">
        <f>SUM(C19,C23,C27,C35,)-C43</f>
        <v>81.351358755236419</v>
      </c>
      <c r="D15" s="212">
        <f>SUM(D19,D23,D27,D35,)-D43</f>
        <v>49.469961308318204</v>
      </c>
      <c r="E15" s="48"/>
    </row>
    <row r="16" spans="2:6">
      <c r="B16" s="209" t="str">
        <f>"% de baisse vs "&amp;TEXT($C$13,"#")</f>
        <v>% de baisse vs 2019</v>
      </c>
      <c r="C16" s="213"/>
      <c r="D16" s="214">
        <f>1-(D15/C15)</f>
        <v>0.39189754092295448</v>
      </c>
    </row>
    <row r="17" spans="1:6" ht="28.8">
      <c r="B17" s="209" t="str">
        <f>"Variation annuelle moyenne entre "&amp;TEXT($D$13,"#")&amp;" et "&amp;TEXT($C$13,"#")&amp;" "</f>
        <v xml:space="preserve">Variation annuelle moyenne entre 2030 et 2019 </v>
      </c>
      <c r="C17" s="213"/>
      <c r="D17" s="220">
        <f>((D15/C15)^(1/($D$13-$C$13))-1)</f>
        <v>-4.4212110063588939E-2</v>
      </c>
    </row>
    <row r="18" spans="1:6">
      <c r="B18" s="215" t="s">
        <v>57</v>
      </c>
      <c r="C18" s="216"/>
      <c r="D18" s="217"/>
    </row>
    <row r="19" spans="1:6" ht="22.95" customHeight="1">
      <c r="B19" s="216" t="s">
        <v>212</v>
      </c>
      <c r="C19" s="218">
        <f>VLOOKUP("VP diesel",'Résultats détaillés GES'!$A$100:$AP$135,MATCH(C$13,'Résultats détaillés GES'!$A$100:$AP$100),FALSE)+VLOOKUP("VP essence",'Résultats détaillés GES'!$A$100:$AP$135,MATCH(C$13,'Résultats détaillés GES'!$A$100:$AP$100),FALSE)+VLOOKUP("VP GPL",'Résultats détaillés GES'!$A$100:$AP$135,MATCH(C$13,'Résultats détaillés GES'!$A$100:$AP$100),FALSE)+VLOOKUP("VP GNV",'Résultats détaillés GES'!$A$100:$AP$135,MATCH(C$13,'Résultats détaillés GES'!$A$100:$AP$100),FALSE)+VLOOKUP("VP électriques",'Résultats détaillés GES'!$A$100:$AP$135,MATCH(C$13,'Résultats détaillés GES'!$A$100:$AP$100),FALSE)</f>
        <v>72.071543423012969</v>
      </c>
      <c r="D19" s="218">
        <f>VLOOKUP("VP diesel",'Résultats détaillés GES'!$A$100:$AP$135,MATCH(D$13,'Résultats détaillés GES'!$A$100:$AP$100),FALSE)+VLOOKUP("VP essence",'Résultats détaillés GES'!$A$100:$AP$135,MATCH(D$13,'Résultats détaillés GES'!$A$100:$AP$100),FALSE)+VLOOKUP("VP GPL",'Résultats détaillés GES'!$A$100:$AP$135,MATCH(D$13,'Résultats détaillés GES'!$A$100:$AP$100),FALSE)+VLOOKUP("VP GNV",'Résultats détaillés GES'!$A$100:$AP$135,MATCH(D$13,'Résultats détaillés GES'!$A$100:$AP$100),FALSE)+VLOOKUP("VP électriques",'Résultats détaillés GES'!$A$100:$AP$135,MATCH(D$13,'Résultats détaillés GES'!$A$100:$AP$100),FALSE)</f>
        <v>41.973538544772467</v>
      </c>
    </row>
    <row r="20" spans="1:6" ht="22.95" customHeight="1">
      <c r="B20" s="216" t="str">
        <f>"% de baisse vs "&amp;TEXT($C$13,"#")</f>
        <v>% de baisse vs 2019</v>
      </c>
      <c r="C20" s="219"/>
      <c r="D20" s="220">
        <f>1-(D19/C19)</f>
        <v>0.4176128808784465</v>
      </c>
      <c r="E20" s="5"/>
      <c r="F20" s="5"/>
    </row>
    <row r="21" spans="1:6" ht="25.95" customHeight="1">
      <c r="B21" s="221" t="str">
        <f>"Variation annuelle moyenne entre "&amp;TEXT($D$13,"#")&amp;" et "&amp;TEXT($C$13,"#")&amp;" "</f>
        <v xml:space="preserve">Variation annuelle moyenne entre 2030 et 2019 </v>
      </c>
      <c r="C21" s="219"/>
      <c r="D21" s="220">
        <f>((D19/C19)^(1/($D$13-$C$13))-1)</f>
        <v>-4.7959081566841255E-2</v>
      </c>
      <c r="E21" s="5"/>
      <c r="F21" s="5"/>
    </row>
    <row r="22" spans="1:6">
      <c r="B22" s="215" t="s">
        <v>58</v>
      </c>
      <c r="C22" s="216"/>
      <c r="D22" s="217"/>
      <c r="E22" s="5"/>
      <c r="F22" s="5"/>
    </row>
    <row r="23" spans="1:6" ht="22.95" customHeight="1">
      <c r="B23" s="216" t="s">
        <v>212</v>
      </c>
      <c r="C23" s="218">
        <f>VLOOKUP("Bus et cars diesel",'Résultats détaillés GES'!$A$100:$AP$135,MATCH(C$13,'Résultats détaillés GES'!$A$100:$AP$100),FALSE)+VLOOKUP("Bus et cars essence",'Résultats détaillés GES'!$A$100:$AP$135,MATCH(C$13,'Résultats détaillés GES'!$A$100:$AP$100),FALSE)+VLOOKUP("Bus et cars GNV",'Résultats détaillés GES'!$A$100:$AP$135,MATCH(C$13,'Résultats détaillés GES'!$A$100:$AP$100),FALSE)+VLOOKUP("Bus et cars électriques",'Résultats détaillés GES'!$A$100:$AP$135,MATCH(C$13,'Résultats détaillés GES'!$A$100:$AP$100),FALSE)</f>
        <v>2.8872590096778468</v>
      </c>
      <c r="D23" s="218">
        <f>VLOOKUP("Bus et cars diesel",'Résultats détaillés GES'!$A$100:$AP$135,MATCH(D$13,'Résultats détaillés GES'!$A$100:$AP$100),FALSE)+VLOOKUP("Bus et cars essence",'Résultats détaillés GES'!$A$100:$AP$135,MATCH(D$13,'Résultats détaillés GES'!$A$100:$AP$100),FALSE)+VLOOKUP("Bus et cars GNV",'Résultats détaillés GES'!$A$100:$AP$135,MATCH(D$13,'Résultats détaillés GES'!$A$100:$AP$100),FALSE)+VLOOKUP("Bus et cars électriques",'Résultats détaillés GES'!$A$100:$AP$135,MATCH(D$13,'Résultats détaillés GES'!$A$100:$AP$100),FALSE)</f>
        <v>2.1756008782519145</v>
      </c>
    </row>
    <row r="24" spans="1:6" ht="22.95" customHeight="1">
      <c r="B24" s="216" t="str">
        <f>"% de baisse vs "&amp;TEXT($C$13,"#")</f>
        <v>% de baisse vs 2019</v>
      </c>
      <c r="C24" s="222"/>
      <c r="D24" s="223">
        <f>1-(D23/C23)</f>
        <v>0.24648226191017664</v>
      </c>
      <c r="E24" s="5"/>
      <c r="F24" s="5"/>
    </row>
    <row r="25" spans="1:6" ht="29.4" customHeight="1">
      <c r="B25" s="221" t="str">
        <f>"Variation annuelle moyenne entre "&amp;TEXT($D$13,"#")&amp;" et "&amp;TEXT($C$13,"#")&amp;" "</f>
        <v xml:space="preserve">Variation annuelle moyenne entre 2030 et 2019 </v>
      </c>
      <c r="C25" s="219"/>
      <c r="D25" s="220">
        <f>((D23/C23)^(1/($D$13-$C$13))-1)</f>
        <v>-2.5399387416205732E-2</v>
      </c>
      <c r="E25" s="5"/>
      <c r="F25" s="5"/>
    </row>
    <row r="26" spans="1:6">
      <c r="B26" s="215" t="s">
        <v>59</v>
      </c>
      <c r="C26" s="216"/>
      <c r="D26" s="216"/>
      <c r="E26" s="5"/>
      <c r="F26" s="5"/>
    </row>
    <row r="27" spans="1:6" ht="22.95" customHeight="1">
      <c r="B27" s="216" t="s">
        <v>212</v>
      </c>
      <c r="C27" s="218">
        <f>VLOOKUP("Deux roues diesel",'Résultats détaillés GES'!$A$100:$AP$135,MATCH(C$13,'Résultats détaillés GES'!$A$100:$AP$100),FALSE)+VLOOKUP("Deux roues essence",'Résultats détaillés GES'!$A$100:$AP$135,MATCH(C$13,'Résultats détaillés GES'!$A$100:$AP$100),FALSE)+VLOOKUP("Deux roues électriques",'Résultats détaillés GES'!$A$100:$AP$135,MATCH(C$13,'Résultats détaillés GES'!$A$100:$AP$100),FALSE)</f>
        <v>1.375915148413378</v>
      </c>
      <c r="D27" s="218">
        <f>VLOOKUP("Deux roues diesel",'Résultats détaillés GES'!$A$100:$AP$135,MATCH(D$13,'Résultats détaillés GES'!$A$100:$AP$100),FALSE)+VLOOKUP("Deux roues essence",'Résultats détaillés GES'!$A$100:$AP$135,MATCH(D$13,'Résultats détaillés GES'!$A$100:$AP$100),FALSE)+VLOOKUP("Deux roues électriques",'Résultats détaillés GES'!$A$100:$AP$135,MATCH(D$13,'Résultats détaillés GES'!$A$100:$AP$100),FALSE)</f>
        <v>0.86951289832466672</v>
      </c>
    </row>
    <row r="28" spans="1:6" ht="22.95" customHeight="1">
      <c r="A28" t="s">
        <v>228</v>
      </c>
      <c r="B28" s="216" t="str">
        <f>"% de baisse vs "&amp;TEXT($C$13,"#")</f>
        <v>% de baisse vs 2019</v>
      </c>
      <c r="C28" s="213"/>
      <c r="D28" s="224">
        <f>1-(D27/C27)</f>
        <v>0.36804758685349437</v>
      </c>
      <c r="E28" s="5"/>
      <c r="F28" s="5"/>
    </row>
    <row r="29" spans="1:6" ht="40.200000000000003" customHeight="1">
      <c r="B29" s="221" t="str">
        <f>"Variation annuelle moyenne entre "&amp;TEXT($D$13,"#")&amp;" et "&amp;TEXT($C$13,"#")&amp;" "</f>
        <v xml:space="preserve">Variation annuelle moyenne entre 2030 et 2019 </v>
      </c>
      <c r="C29" s="219"/>
      <c r="D29" s="220">
        <f>((D27/C27)^(1/($D$13-$C$13))-1)</f>
        <v>-4.0863545363044818E-2</v>
      </c>
      <c r="E29" s="5"/>
      <c r="F29" s="5"/>
    </row>
    <row r="30" spans="1:6" ht="40.200000000000003" customHeight="1">
      <c r="B30" s="215" t="s">
        <v>60</v>
      </c>
      <c r="C30" s="216"/>
      <c r="D30" s="216"/>
      <c r="E30" s="5"/>
      <c r="F30" s="5"/>
    </row>
    <row r="31" spans="1:6" ht="40.200000000000003" customHeight="1">
      <c r="B31" s="216" t="s">
        <v>212</v>
      </c>
      <c r="C31" s="218">
        <f>VLOOKUP($B$61,'Résultats détaillés GES'!$A$100:$AP$135,MATCH(C$13,'Résultats détaillés GES'!$A$100:$AP$100),FALSE)</f>
        <v>0.40960026188842491</v>
      </c>
      <c r="D31" s="218">
        <f>VLOOKUP($B$61,'Résultats détaillés GES'!$A$100:$AP$135,MATCH(D$13,'Résultats détaillés GES'!$A$100:$AP$100),FALSE)</f>
        <v>0.28264886380947363</v>
      </c>
      <c r="E31" s="5"/>
      <c r="F31" s="5"/>
    </row>
    <row r="32" spans="1:6" ht="40.200000000000003" customHeight="1">
      <c r="B32" s="216" t="str">
        <f>"% de baisse vs "&amp;TEXT($C$13,"#")</f>
        <v>% de baisse vs 2019</v>
      </c>
      <c r="C32" s="213"/>
      <c r="D32" s="224">
        <f>1-(D31/C31)</f>
        <v>0.30993973854814783</v>
      </c>
      <c r="E32" s="5"/>
      <c r="F32" s="5"/>
    </row>
    <row r="33" spans="1:6" ht="40.200000000000003" customHeight="1">
      <c r="B33" s="221" t="str">
        <f>"Variation annuelle moyenne entre "&amp;TEXT($D$13,"#")&amp;" et "&amp;TEXT($C$13,"#")&amp;" "</f>
        <v xml:space="preserve">Variation annuelle moyenne entre 2030 et 2019 </v>
      </c>
      <c r="C33" s="219"/>
      <c r="D33" s="220">
        <f>((D31/C31)^(1/($D$13-$C$13))-1)</f>
        <v>-3.3162770283696408E-2</v>
      </c>
      <c r="E33" s="5"/>
      <c r="F33" s="5"/>
    </row>
    <row r="34" spans="1:6">
      <c r="B34" s="215" t="s">
        <v>61</v>
      </c>
      <c r="C34" s="225"/>
      <c r="D34" s="226"/>
      <c r="E34" s="5"/>
      <c r="F34" s="5"/>
    </row>
    <row r="35" spans="1:6" ht="22.95" customHeight="1">
      <c r="B35" s="216" t="s">
        <v>212</v>
      </c>
      <c r="C35" s="218">
        <f>SUM(C39,C43)</f>
        <v>24.2142704010238</v>
      </c>
      <c r="D35" s="218">
        <f>SUM(D39,D43)</f>
        <v>23.53640586096386</v>
      </c>
    </row>
    <row r="36" spans="1:6" ht="22.95" customHeight="1">
      <c r="A36" t="s">
        <v>228</v>
      </c>
      <c r="B36" s="216" t="str">
        <f>"% de baisse vs "&amp;TEXT($C$13,"#")</f>
        <v>% de baisse vs 2019</v>
      </c>
      <c r="C36" s="219"/>
      <c r="D36" s="228">
        <f>1-(D35/C35)</f>
        <v>2.7994423488030384E-2</v>
      </c>
      <c r="E36" s="5"/>
      <c r="F36" s="5"/>
    </row>
    <row r="37" spans="1:6" ht="34.950000000000003" customHeight="1">
      <c r="B37" s="221" t="str">
        <f>"Variation annuelle moyenne entre "&amp;TEXT($D$13,"#")&amp;" et "&amp;TEXT($C$13,"#")&amp;" "</f>
        <v xml:space="preserve">Variation annuelle moyenne entre 2030 et 2019 </v>
      </c>
      <c r="C37" s="219"/>
      <c r="D37" s="220">
        <f>((D35/C35)^(1/($D$13-$C$13))-1)</f>
        <v>-2.5779202950061419E-3</v>
      </c>
      <c r="E37" s="5"/>
      <c r="F37" s="5"/>
    </row>
    <row r="38" spans="1:6">
      <c r="B38" s="236" t="s">
        <v>251</v>
      </c>
      <c r="C38" s="230"/>
      <c r="D38" s="230"/>
      <c r="E38" s="5"/>
      <c r="F38" s="5"/>
    </row>
    <row r="39" spans="1:6" ht="22.95" customHeight="1">
      <c r="B39" s="232" t="s">
        <v>212</v>
      </c>
      <c r="C39" s="218">
        <f>VLOOKUP($B$38,'Résultats détaillés GES'!$A$100:$AP$135,MATCH(C$13,'Résultats détaillés GES'!$A$100:$AP$100),FALSE)</f>
        <v>5.0166411741322277</v>
      </c>
      <c r="D39" s="218">
        <f>VLOOKUP($B$38,'Résultats détaillés GES'!$A$100:$AP$135,MATCH(D$13,'Résultats détaillés GES'!$A$100:$AP$100),FALSE)</f>
        <v>4.451308986969158</v>
      </c>
    </row>
    <row r="40" spans="1:6" ht="22.95" customHeight="1">
      <c r="B40" s="232" t="str">
        <f>"% de baisse vs "&amp;TEXT($C$13,"#")</f>
        <v>% de baisse vs 2019</v>
      </c>
      <c r="C40" s="219"/>
      <c r="D40" s="220">
        <f>1-(D39/C39)</f>
        <v>0.11269137407677166</v>
      </c>
      <c r="E40" s="5"/>
      <c r="F40" s="5"/>
    </row>
    <row r="41" spans="1:6" ht="34.950000000000003" customHeight="1">
      <c r="B41" s="233" t="str">
        <f>"Variation annuelle moyenne entre "&amp;TEXT($D$13,"#")&amp;" et "&amp;TEXT($C$13,"#")&amp;" "</f>
        <v xml:space="preserve">Variation annuelle moyenne entre 2030 et 2019 </v>
      </c>
      <c r="C41" s="219"/>
      <c r="D41" s="228">
        <f>((D39/C39)^(1/($D$13-$C$13))-1)</f>
        <v>-1.0810452817897054E-2</v>
      </c>
      <c r="E41" s="5"/>
      <c r="F41" s="5"/>
    </row>
    <row r="42" spans="1:6">
      <c r="B42" s="236" t="s">
        <v>252</v>
      </c>
      <c r="C42" s="230"/>
      <c r="D42" s="230"/>
      <c r="E42" s="5"/>
      <c r="F42" s="5"/>
    </row>
    <row r="43" spans="1:6" ht="22.95" customHeight="1">
      <c r="B43" s="232" t="s">
        <v>212</v>
      </c>
      <c r="C43" s="218">
        <f>VLOOKUP("Transport aérien international - hors total national",'Résultats détaillés GES'!$A$100:$AP$135,MATCH(C$13,'Résultats détaillés GES'!$A$100:$AP$100),FALSE)</f>
        <v>19.197629226891571</v>
      </c>
      <c r="D43" s="218">
        <f>VLOOKUP("Transport aérien international - hors total national",'Résultats détaillés GES'!$A$100:$AP$135,MATCH(D$13,'Résultats détaillés GES'!$A$100:$AP$100),FALSE)</f>
        <v>19.085096873994704</v>
      </c>
    </row>
    <row r="44" spans="1:6" ht="22.95" customHeight="1">
      <c r="B44" s="232" t="str">
        <f>"% de baisse vs "&amp;TEXT($C$13,"#")</f>
        <v>% de baisse vs 2019</v>
      </c>
      <c r="C44" s="219"/>
      <c r="D44" s="220">
        <f>1-(D43/C43)</f>
        <v>5.8617838466863414E-3</v>
      </c>
      <c r="E44" s="5"/>
      <c r="F44" s="5"/>
    </row>
    <row r="45" spans="1:6" ht="34.950000000000003" customHeight="1">
      <c r="B45" s="233" t="str">
        <f>"Variation annuelle moyenne entre "&amp;TEXT($D$13,"#")&amp;" et "&amp;TEXT($C$13,"#")&amp;" "</f>
        <v xml:space="preserve">Variation annuelle moyenne entre 2030 et 2019 </v>
      </c>
      <c r="C45" s="219"/>
      <c r="D45" s="220">
        <f>((D43/C43)^(1/($D$13-$C$13))-1)</f>
        <v>-5.3431461545350167E-4</v>
      </c>
      <c r="E45" s="5"/>
      <c r="F45" s="5"/>
    </row>
    <row r="48" spans="1:6">
      <c r="B48" s="210" t="s">
        <v>253</v>
      </c>
      <c r="C48" s="211">
        <f>C13</f>
        <v>2019</v>
      </c>
      <c r="D48" s="211">
        <f>D13</f>
        <v>2030</v>
      </c>
    </row>
    <row r="49" spans="2:6">
      <c r="B49" s="207" t="s">
        <v>63</v>
      </c>
      <c r="C49" s="208"/>
      <c r="D49" s="208"/>
      <c r="E49" s="4"/>
      <c r="F49" s="4"/>
    </row>
    <row r="50" spans="2:6" ht="22.95" customHeight="1">
      <c r="B50" s="208" t="s">
        <v>212</v>
      </c>
      <c r="C50" s="212">
        <f>SUM(C54,C58,C66,C62)-C74</f>
        <v>53.018661141587323</v>
      </c>
      <c r="D50" s="212">
        <f t="shared" ref="D50" si="0">SUM(D54,D58,D66,D62)-D74</f>
        <v>40.908501692888294</v>
      </c>
      <c r="E50" s="48"/>
    </row>
    <row r="51" spans="2:6" ht="22.95" customHeight="1">
      <c r="B51" s="209" t="str">
        <f>"% de baisse vs "&amp;TEXT($C$13,"#")</f>
        <v>% de baisse vs 2019</v>
      </c>
      <c r="C51" s="213"/>
      <c r="D51" s="214">
        <f>1-(D50/C50)</f>
        <v>0.22841315091602599</v>
      </c>
    </row>
    <row r="52" spans="2:6" ht="39" customHeight="1">
      <c r="B52" s="209" t="str">
        <f>"Variation annuelle moyenne entre "&amp;TEXT($D$13,"#")&amp;" et "&amp;TEXT($C$13,"#")&amp;" "</f>
        <v xml:space="preserve">Variation annuelle moyenne entre 2030 et 2019 </v>
      </c>
      <c r="C52" s="213"/>
      <c r="D52" s="214"/>
    </row>
    <row r="53" spans="2:6">
      <c r="B53" s="215" t="s">
        <v>64</v>
      </c>
      <c r="C53" s="216"/>
      <c r="D53" s="217"/>
    </row>
    <row r="54" spans="2:6" ht="22.95" customHeight="1">
      <c r="B54" s="216" t="s">
        <v>212</v>
      </c>
      <c r="C54" s="218">
        <f>VLOOKUP("PL de marchandises diesel",'Résultats détaillés GES'!$A$100:$AP$135,MATCH(C$13,'Résultats détaillés GES'!$A$100:$AP$100),FALSE)+VLOOKUP("PL de marchandises essence",'Résultats détaillés GES'!$A$100:$AP$135,MATCH(C$13,'Résultats détaillés GES'!$A$100:$AP$100),FALSE)+VLOOKUP("PL de marchandises GNV",'Résultats détaillés GES'!$A$100:$AP$135,MATCH(C$13,'Résultats détaillés GES'!$A$100:$AP$100),FALSE)+VLOOKUP("PL de marchandises électriques",'Résultats détaillés GES'!$A$100:$AP$135,MATCH(C$13,'Résultats détaillés GES'!$A$100:$AP$100),FALSE)</f>
        <v>29.989259731294048</v>
      </c>
      <c r="D54" s="218">
        <f>VLOOKUP("PL de marchandises diesel",'Résultats détaillés GES'!$A$100:$AP$135,MATCH(D$13,'Résultats détaillés GES'!$A$100:$AP$100),FALSE)+VLOOKUP("PL de marchandises essence",'Résultats détaillés GES'!$A$100:$AP$135,MATCH(D$13,'Résultats détaillés GES'!$A$100:$AP$100),FALSE)+VLOOKUP("PL de marchandises GNV",'Résultats détaillés GES'!$A$100:$AP$135,MATCH(D$13,'Résultats détaillés GES'!$A$100:$AP$100),FALSE)+VLOOKUP("PL de marchandises électriques",'Résultats détaillés GES'!$A$100:$AP$135,MATCH(D$13,'Résultats détaillés GES'!$A$100:$AP$100),FALSE)</f>
        <v>20.142612530747055</v>
      </c>
    </row>
    <row r="55" spans="2:6" ht="22.95" customHeight="1">
      <c r="B55" s="216" t="str">
        <f>"% de baisse vs "&amp;TEXT($C$13,"#")</f>
        <v>% de baisse vs 2019</v>
      </c>
      <c r="C55" s="219"/>
      <c r="D55" s="220">
        <f>1-(D54/C54)</f>
        <v>0.32833912169802348</v>
      </c>
      <c r="E55" s="5"/>
      <c r="F55" s="5"/>
    </row>
    <row r="56" spans="2:6" ht="34.950000000000003" customHeight="1">
      <c r="B56" s="221" t="str">
        <f>"Variation annuelle moyenne entre "&amp;TEXT($D$13,"#")&amp;" et "&amp;TEXT($C$13,"#")&amp;" "</f>
        <v xml:space="preserve">Variation annuelle moyenne entre 2030 et 2019 </v>
      </c>
      <c r="C56" s="219"/>
      <c r="D56" s="220">
        <f>((D54/C54)^(1/($D$13-$C$13))-1)</f>
        <v>-3.5535229754994901E-2</v>
      </c>
      <c r="E56" s="5"/>
      <c r="F56" s="5"/>
    </row>
    <row r="57" spans="2:6">
      <c r="B57" s="215" t="s">
        <v>65</v>
      </c>
      <c r="C57" s="216"/>
      <c r="D57" s="217"/>
      <c r="E57" s="5"/>
      <c r="F57" s="5"/>
    </row>
    <row r="58" spans="2:6" ht="22.95" customHeight="1">
      <c r="B58" s="216" t="s">
        <v>212</v>
      </c>
      <c r="C58" s="218">
        <f>VLOOKUP("VUL diesel",'Résultats détaillés GES'!$A$100:$AP$135,MATCH(C$13,'Résultats détaillés GES'!$A$100:$AP$100),FALSE)+VLOOKUP("VUL essence",'Résultats détaillés GES'!$A$100:$AP$135,MATCH(C$13,'Résultats détaillés GES'!$A$100:$AP$100),FALSE)+VLOOKUP("VUL GNV",'Résultats détaillés GES'!$A$100:$AP$135,MATCH(C$13,'Résultats détaillés GES'!$A$100:$AP$100),FALSE)+VLOOKUP("VUL électriques",'Résultats détaillés GES'!$A$100:$AP$135,MATCH(C$13,'Résultats détaillés GES'!$A$100:$AP$100),FALSE)+VLOOKUP("VUL GPL",'Résultats détaillés GES'!$A$100:$AP$135,MATCH(C$13,'Résultats détaillés GES'!$A$100:$AP$100),FALSE)</f>
        <v>19.851042612360899</v>
      </c>
      <c r="D58" s="218">
        <f>VLOOKUP("VUL diesel",'Résultats détaillés GES'!$A$100:$AP$135,MATCH(D$13,'Résultats détaillés GES'!$A$100:$AP$100),FALSE)+VLOOKUP("VUL essence",'Résultats détaillés GES'!$A$100:$AP$135,MATCH(D$13,'Résultats détaillés GES'!$A$100:$AP$100),FALSE)+VLOOKUP("VUL GNV",'Résultats détaillés GES'!$A$100:$AP$135,MATCH(D$13,'Résultats détaillés GES'!$A$100:$AP$100),FALSE)+VLOOKUP("VUL électriques",'Résultats détaillés GES'!$A$100:$AP$135,MATCH(D$13,'Résultats détaillés GES'!$A$100:$AP$100),FALSE)+VLOOKUP("VUL GPL",'Résultats détaillés GES'!$A$100:$AP$135,MATCH(D$13,'Résultats détaillés GES'!$A$100:$AP$100),FALSE)</f>
        <v>18.139600467821598</v>
      </c>
    </row>
    <row r="59" spans="2:6" ht="22.95" customHeight="1">
      <c r="B59" s="216" t="str">
        <f>"% de baisse vs "&amp;TEXT($C$13,"#")</f>
        <v>% de baisse vs 2019</v>
      </c>
      <c r="C59" s="222"/>
      <c r="D59" s="223">
        <f>1-(D58/C58)</f>
        <v>8.6214219472463216E-2</v>
      </c>
      <c r="E59" s="5"/>
      <c r="F59" s="5"/>
    </row>
    <row r="60" spans="2:6" ht="37.200000000000003" customHeight="1">
      <c r="B60" s="221" t="str">
        <f>"Variation annuelle moyenne entre "&amp;TEXT($D$13,"#")&amp;" et "&amp;TEXT($C$13,"#")&amp;" "</f>
        <v xml:space="preserve">Variation annuelle moyenne entre 2030 et 2019 </v>
      </c>
      <c r="C60" s="219"/>
      <c r="D60" s="220">
        <f>((D58/C58)^(1/($D$13-$C$13))-1)</f>
        <v>-8.162784855130889E-3</v>
      </c>
      <c r="E60" s="5"/>
      <c r="F60" s="5"/>
    </row>
    <row r="61" spans="2:6" ht="24.6" customHeight="1">
      <c r="B61" s="215" t="s">
        <v>60</v>
      </c>
      <c r="C61" s="216"/>
      <c r="D61" s="216"/>
      <c r="E61" s="5"/>
      <c r="F61" s="5"/>
    </row>
    <row r="62" spans="2:6" ht="37.200000000000003" customHeight="1">
      <c r="B62" s="216" t="s">
        <v>212</v>
      </c>
      <c r="C62" s="218">
        <f>VLOOKUP($B$61,'Résultats détaillés GES'!$A$100:$AP$135,MATCH(C$13,'Résultats détaillés GES'!$A$100:$AP$100),FALSE)</f>
        <v>0.40960026188842491</v>
      </c>
      <c r="D62" s="218">
        <f>VLOOKUP($B$61,'Résultats détaillés GES'!$A$100:$AP$135,MATCH(D$13,'Résultats détaillés GES'!$A$100:$AP$100),FALSE)</f>
        <v>0.28264886380947363</v>
      </c>
      <c r="E62" s="5"/>
      <c r="F62" s="5"/>
    </row>
    <row r="63" spans="2:6" ht="37.200000000000003" customHeight="1">
      <c r="B63" s="216" t="str">
        <f>"% de baisse vs "&amp;TEXT($C$13,"#")</f>
        <v>% de baisse vs 2019</v>
      </c>
      <c r="C63" s="213"/>
      <c r="D63" s="224">
        <f>1-(D62/C62)</f>
        <v>0.30993973854814783</v>
      </c>
      <c r="E63" s="5"/>
      <c r="F63" s="5"/>
    </row>
    <row r="64" spans="2:6" ht="37.200000000000003" customHeight="1">
      <c r="B64" s="221" t="str">
        <f>"Variation annuelle moyenne entre "&amp;TEXT($D$13,"#")&amp;" et "&amp;TEXT($C$13,"#")&amp;" "</f>
        <v xml:space="preserve">Variation annuelle moyenne entre 2030 et 2019 </v>
      </c>
      <c r="C64" s="219"/>
      <c r="D64" s="220">
        <f>((D62/C62)^(1/($D$13-$C$13))-1)</f>
        <v>-3.3162770283696408E-2</v>
      </c>
      <c r="E64" s="5"/>
      <c r="F64" s="5"/>
    </row>
    <row r="65" spans="2:12">
      <c r="B65" s="215" t="s">
        <v>66</v>
      </c>
      <c r="C65" s="225"/>
      <c r="D65" s="226"/>
      <c r="E65" s="5"/>
      <c r="F65" s="5"/>
    </row>
    <row r="66" spans="2:12" ht="22.95" customHeight="1">
      <c r="B66" s="216" t="s">
        <v>212</v>
      </c>
      <c r="C66" s="227">
        <f>SUM(C70,C74)</f>
        <v>8.358152755910309</v>
      </c>
      <c r="D66" s="227">
        <f>SUM(D70,D74)</f>
        <v>6.7839313436601598</v>
      </c>
    </row>
    <row r="67" spans="2:12" ht="22.95" customHeight="1">
      <c r="B67" s="216" t="str">
        <f>"% de baisse vs "&amp;TEXT($C$13,"#")</f>
        <v>% de baisse vs 2019</v>
      </c>
      <c r="C67" s="219"/>
      <c r="D67" s="228">
        <f>1-(D66/C66)</f>
        <v>0.18834561394405824</v>
      </c>
      <c r="E67" s="5"/>
      <c r="F67" s="5"/>
    </row>
    <row r="68" spans="2:12" ht="29.4" customHeight="1">
      <c r="B68" s="221" t="str">
        <f>"Variation annuelle moyenne entre "&amp;TEXT($D$13,"#")&amp;" et "&amp;TEXT($C$13,"#")&amp;" "</f>
        <v xml:space="preserve">Variation annuelle moyenne entre 2030 et 2019 </v>
      </c>
      <c r="C68" s="219"/>
      <c r="D68" s="220">
        <f>((D66/C66)^(1/($D$13-$C$13))-1)</f>
        <v>-1.8792153025718572E-2</v>
      </c>
      <c r="E68" s="5"/>
      <c r="F68" s="5"/>
    </row>
    <row r="69" spans="2:12" ht="28.8">
      <c r="B69" s="229" t="s">
        <v>254</v>
      </c>
      <c r="C69" s="230"/>
      <c r="D69" s="230"/>
      <c r="E69" s="5"/>
      <c r="F69" s="5"/>
    </row>
    <row r="70" spans="2:12" ht="22.95" customHeight="1">
      <c r="B70" s="231" t="s">
        <v>212</v>
      </c>
      <c r="C70" s="218">
        <f>VLOOKUP("Transport maritime domestique",'Résultats détaillés GES'!$A$100:$AP$135,MATCH(C$13,'Résultats détaillés GES'!$A$100:$AP$100),FALSE)+VLOOKUP("Transport autres navigations",'Résultats détaillés GES'!$A$100:$AP$135,MATCH(C$13,'Résultats détaillés GES'!$A$100:$AP$100),FALSE)+VLOOKUP("Transport fluvial de marchandises",'Résultats détaillés GES'!$A$100:$AP$135,MATCH(C$13,'Résultats détaillés GES'!$A$100:$AP$100),FALSE)</f>
        <v>2.7687585360439528</v>
      </c>
      <c r="D70" s="218">
        <f>VLOOKUP("Transport maritime domestique",'Résultats détaillés GES'!$A$100:$AP$135,MATCH(D$13,'Résultats détaillés GES'!$A$100:$AP$100),FALSE)+VLOOKUP("Transport autres navigations",'Résultats détaillés GES'!$A$100:$AP$135,MATCH(D$13,'Résultats détaillés GES'!$A$100:$AP$100),FALSE)+VLOOKUP("Transport fluvial de marchandises",'Résultats détaillés GES'!$A$100:$AP$135,MATCH(D$13,'Résultats détaillés GES'!$A$100:$AP$100),FALSE)</f>
        <v>2.3436398305101722</v>
      </c>
    </row>
    <row r="71" spans="2:12" ht="22.95" customHeight="1">
      <c r="B71" s="232" t="str">
        <f>"% de baisse vs "&amp;TEXT($C$13,"#")</f>
        <v>% de baisse vs 2019</v>
      </c>
      <c r="C71" s="219"/>
      <c r="D71" s="220">
        <f>1-(D70/C70)</f>
        <v>0.15354127129525608</v>
      </c>
      <c r="E71" s="5"/>
      <c r="F71" s="5"/>
    </row>
    <row r="72" spans="2:12" ht="33.6" customHeight="1">
      <c r="B72" s="233" t="str">
        <f>"Variation annuelle moyenne entre "&amp;TEXT($D$13,"#")&amp;" et "&amp;TEXT($C$13,"#")&amp;" "</f>
        <v xml:space="preserve">Variation annuelle moyenne entre 2030 et 2019 </v>
      </c>
      <c r="C72" s="219"/>
      <c r="D72" s="228">
        <f>((D70/C70)^(1/($D$13-$C$13))-1)</f>
        <v>-1.5039741074654778E-2</v>
      </c>
      <c r="E72" s="5"/>
      <c r="F72" s="5"/>
      <c r="G72" s="46"/>
      <c r="H72" s="46"/>
      <c r="I72" s="46"/>
      <c r="J72" s="46"/>
      <c r="K72" s="46"/>
    </row>
    <row r="73" spans="2:12">
      <c r="B73" s="229" t="s">
        <v>255</v>
      </c>
      <c r="C73" s="230"/>
      <c r="D73" s="230"/>
      <c r="E73" s="5"/>
      <c r="F73" s="5"/>
      <c r="G73" s="46"/>
      <c r="H73" s="46"/>
      <c r="I73" s="46"/>
      <c r="J73" s="46"/>
      <c r="K73" s="46"/>
    </row>
    <row r="74" spans="2:12" ht="22.95" customHeight="1">
      <c r="B74" s="231" t="s">
        <v>212</v>
      </c>
      <c r="C74" s="218">
        <f>VLOOKUP("Transport fluvial international - hors total national",'Résultats détaillés GES'!$A$100:$AP$135,MATCH(C$13,'Résultats détaillés GES'!$A$100:$AP$100),FALSE)+VLOOKUP("Transport maritime international - hors total national",'Résultats détaillés GES'!$A$100:$AP$135,MATCH(C$13,'Résultats détaillés GES'!$A$100:$AP$100),FALSE)</f>
        <v>5.5893942198663558</v>
      </c>
      <c r="D74" s="218">
        <f>VLOOKUP("Transport fluvial international - hors total national",'Résultats détaillés GES'!$A$100:$AP$135,MATCH(D$13,'Résultats détaillés GES'!$A$100:$AP$100),FALSE)+VLOOKUP("Transport maritime international - hors total national",'Résultats détaillés GES'!$A$100:$AP$135,MATCH(D$13,'Résultats détaillés GES'!$A$100:$AP$100),FALSE)</f>
        <v>4.4402915131499876</v>
      </c>
      <c r="G74" s="46"/>
      <c r="H74" s="46"/>
      <c r="I74" s="46"/>
      <c r="J74" s="46"/>
      <c r="K74" s="46"/>
    </row>
    <row r="75" spans="2:12" ht="22.95" customHeight="1">
      <c r="B75" s="232" t="str">
        <f>"% de baisse vs "&amp;TEXT($C$13,"#")</f>
        <v>% de baisse vs 2019</v>
      </c>
      <c r="C75" s="219"/>
      <c r="D75" s="220">
        <f>1-(D74/C74)</f>
        <v>0.20558626955173753</v>
      </c>
      <c r="E75" s="5"/>
      <c r="F75" s="5"/>
      <c r="G75" s="46"/>
      <c r="H75" s="46"/>
      <c r="I75" s="46"/>
      <c r="J75" s="46"/>
      <c r="K75" s="46"/>
    </row>
    <row r="76" spans="2:12" ht="31.95" customHeight="1">
      <c r="B76" s="233" t="str">
        <f>"Variation annuelle moyenne entre "&amp;TEXT($D$13,"#")&amp;" et "&amp;TEXT($C$13,"#")&amp;" "</f>
        <v xml:space="preserve">Variation annuelle moyenne entre 2030 et 2019 </v>
      </c>
      <c r="C76" s="219"/>
      <c r="D76" s="228">
        <f>((D74/C74)^(1/($D$13-$C$13))-1)</f>
        <v>-2.0705444139928253E-2</v>
      </c>
      <c r="E76" s="5"/>
      <c r="F76" s="5"/>
      <c r="G76" s="46"/>
      <c r="H76" s="46"/>
      <c r="I76" s="46"/>
      <c r="J76" s="46"/>
      <c r="K76" s="46"/>
    </row>
    <row r="77" spans="2:12">
      <c r="H77" s="46"/>
      <c r="I77" s="46"/>
      <c r="J77" s="46"/>
      <c r="K77" s="46"/>
      <c r="L77" s="46"/>
    </row>
    <row r="80" spans="2:12">
      <c r="B80" s="29" t="s">
        <v>226</v>
      </c>
    </row>
    <row r="81" spans="2:6">
      <c r="B81" s="29"/>
    </row>
    <row r="82" spans="2:6">
      <c r="B82" s="23" t="s">
        <v>256</v>
      </c>
      <c r="C82" t="s">
        <v>228</v>
      </c>
    </row>
    <row r="83" spans="2:6" ht="28.2" customHeight="1">
      <c r="B83" s="22" t="str">
        <f>"Baisse globale entre "&amp;TEXT($D$13,"#")&amp;" et "&amp;TEXT($C$13,"#")&amp;" "</f>
        <v xml:space="preserve">Baisse globale entre 2030 et 2019 </v>
      </c>
      <c r="C83" s="395">
        <f>D16</f>
        <v>0.39189754092295448</v>
      </c>
      <c r="D83" s="395"/>
      <c r="E83" s="395"/>
    </row>
    <row r="84" spans="2:6" ht="36" customHeight="1">
      <c r="B84" s="21" t="s">
        <v>229</v>
      </c>
      <c r="C84" s="381" t="s">
        <v>257</v>
      </c>
      <c r="D84" s="381"/>
      <c r="E84" s="381"/>
      <c r="F84" s="48"/>
    </row>
    <row r="85" spans="2:6" ht="45" customHeight="1">
      <c r="B85" s="191" t="s">
        <v>181</v>
      </c>
      <c r="C85" s="379" t="s">
        <v>258</v>
      </c>
      <c r="D85" s="379"/>
      <c r="E85" s="379"/>
    </row>
    <row r="86" spans="2:6" ht="45" customHeight="1">
      <c r="B86" s="191" t="s">
        <v>182</v>
      </c>
      <c r="C86" s="379" t="s">
        <v>259</v>
      </c>
      <c r="D86" s="379"/>
      <c r="E86" s="379"/>
    </row>
    <row r="87" spans="2:6" ht="45" customHeight="1">
      <c r="B87" s="190" t="s">
        <v>183</v>
      </c>
      <c r="C87" s="379" t="s">
        <v>260</v>
      </c>
      <c r="D87" s="379"/>
      <c r="E87" s="379"/>
    </row>
    <row r="88" spans="2:6" ht="45" customHeight="1">
      <c r="B88" s="390" t="s">
        <v>184</v>
      </c>
      <c r="C88" s="379" t="s">
        <v>261</v>
      </c>
      <c r="D88" s="379"/>
      <c r="E88" s="379"/>
    </row>
    <row r="89" spans="2:6" ht="45" customHeight="1">
      <c r="B89" s="390"/>
      <c r="C89" s="396" t="s">
        <v>262</v>
      </c>
      <c r="D89" s="396"/>
      <c r="E89" s="396"/>
    </row>
    <row r="90" spans="2:6" ht="45" customHeight="1">
      <c r="B90" s="390" t="s">
        <v>185</v>
      </c>
      <c r="C90" s="379" t="s">
        <v>263</v>
      </c>
      <c r="D90" s="379"/>
      <c r="E90" s="379"/>
    </row>
    <row r="91" spans="2:6" ht="45" customHeight="1">
      <c r="B91" s="390"/>
      <c r="C91" s="379" t="s">
        <v>264</v>
      </c>
      <c r="D91" s="379"/>
      <c r="E91" s="379"/>
    </row>
    <row r="92" spans="2:6" ht="42" customHeight="1">
      <c r="B92" s="390"/>
      <c r="C92" s="391" t="s">
        <v>265</v>
      </c>
      <c r="D92" s="391"/>
      <c r="E92" s="391"/>
    </row>
    <row r="93" spans="2:6" ht="42" customHeight="1">
      <c r="B93" s="190" t="s">
        <v>186</v>
      </c>
      <c r="C93" s="391" t="s">
        <v>266</v>
      </c>
      <c r="D93" s="391"/>
      <c r="E93" s="391"/>
    </row>
    <row r="94" spans="2:6" ht="42" customHeight="1">
      <c r="B94" s="390" t="s">
        <v>187</v>
      </c>
      <c r="C94" s="391" t="s">
        <v>267</v>
      </c>
      <c r="D94" s="391"/>
      <c r="E94" s="391"/>
    </row>
    <row r="95" spans="2:6" ht="42" customHeight="1">
      <c r="B95" s="390"/>
      <c r="C95" s="392" t="s">
        <v>268</v>
      </c>
      <c r="D95" s="393"/>
      <c r="E95" s="394"/>
    </row>
    <row r="96" spans="2:6" ht="42" customHeight="1">
      <c r="B96" s="390"/>
      <c r="C96" s="391" t="s">
        <v>269</v>
      </c>
      <c r="D96" s="391"/>
      <c r="E96" s="391"/>
    </row>
    <row r="97" spans="2:12" ht="42" customHeight="1">
      <c r="B97" s="390"/>
      <c r="C97" s="391" t="s">
        <v>270</v>
      </c>
      <c r="D97" s="391"/>
      <c r="E97" s="391"/>
    </row>
    <row r="98" spans="2:12" ht="13.95" customHeight="1">
      <c r="B98" s="47"/>
      <c r="C98" s="7"/>
    </row>
    <row r="100" spans="2:12" ht="30.45" customHeight="1">
      <c r="B100" s="23" t="s">
        <v>271</v>
      </c>
      <c r="C100" t="s">
        <v>228</v>
      </c>
    </row>
    <row r="101" spans="2:12" ht="22.95" customHeight="1">
      <c r="B101" s="22" t="str">
        <f>"Baisse globale entre "&amp;TEXT($D$13,"#")&amp;" et "&amp;TEXT($C$13,"#")&amp;" "</f>
        <v xml:space="preserve">Baisse globale entre 2030 et 2019 </v>
      </c>
      <c r="C101" s="395">
        <f>D51</f>
        <v>0.22841315091602599</v>
      </c>
      <c r="D101" s="395"/>
      <c r="E101" s="395"/>
    </row>
    <row r="102" spans="2:12" s="46" customFormat="1" ht="36.450000000000003" customHeight="1">
      <c r="B102" s="21" t="s">
        <v>229</v>
      </c>
      <c r="C102" s="381" t="s">
        <v>230</v>
      </c>
      <c r="D102" s="381"/>
      <c r="E102" s="381"/>
      <c r="H102"/>
      <c r="I102"/>
      <c r="J102"/>
      <c r="K102"/>
      <c r="L102"/>
    </row>
    <row r="103" spans="2:12" s="46" customFormat="1" ht="45" customHeight="1">
      <c r="B103" s="193" t="s">
        <v>189</v>
      </c>
      <c r="C103" s="379" t="s">
        <v>272</v>
      </c>
      <c r="D103" s="379"/>
      <c r="E103" s="379"/>
      <c r="H103"/>
      <c r="I103"/>
      <c r="J103"/>
      <c r="K103"/>
      <c r="L103"/>
    </row>
    <row r="104" spans="2:12" s="46" customFormat="1" ht="45" customHeight="1">
      <c r="B104" s="193" t="s">
        <v>190</v>
      </c>
      <c r="C104" s="386" t="s">
        <v>273</v>
      </c>
      <c r="D104" s="386"/>
      <c r="E104" s="386"/>
      <c r="H104"/>
      <c r="I104"/>
      <c r="J104"/>
      <c r="K104"/>
      <c r="L104"/>
    </row>
    <row r="105" spans="2:12" s="46" customFormat="1" ht="25.95" customHeight="1">
      <c r="B105" s="390" t="s">
        <v>191</v>
      </c>
      <c r="C105" s="379" t="s">
        <v>274</v>
      </c>
      <c r="D105" s="379"/>
      <c r="E105" s="379"/>
      <c r="H105"/>
      <c r="I105"/>
      <c r="J105"/>
      <c r="K105"/>
      <c r="L105"/>
    </row>
    <row r="106" spans="2:12" s="46" customFormat="1" ht="29.4" customHeight="1">
      <c r="B106" s="390"/>
      <c r="C106" s="379" t="s">
        <v>275</v>
      </c>
      <c r="D106" s="379"/>
      <c r="E106" s="379"/>
      <c r="H106"/>
      <c r="I106"/>
      <c r="J106"/>
      <c r="K106"/>
      <c r="L106"/>
    </row>
    <row r="107" spans="2:12" s="46" customFormat="1" ht="70.95" customHeight="1">
      <c r="B107" s="329" t="s">
        <v>170</v>
      </c>
      <c r="C107" s="386" t="s">
        <v>276</v>
      </c>
      <c r="D107" s="386"/>
      <c r="E107" s="386"/>
      <c r="H107"/>
      <c r="I107"/>
      <c r="J107"/>
      <c r="K107"/>
      <c r="L107"/>
    </row>
    <row r="108" spans="2:12" s="46" customFormat="1" ht="45" customHeight="1">
      <c r="B108" s="329" t="s">
        <v>192</v>
      </c>
      <c r="C108" s="379" t="s">
        <v>277</v>
      </c>
      <c r="D108" s="379"/>
      <c r="E108" s="379"/>
      <c r="H108"/>
      <c r="I108"/>
      <c r="J108"/>
      <c r="K108"/>
      <c r="L108"/>
    </row>
    <row r="114" spans="2:6">
      <c r="B114" s="267" t="s">
        <v>244</v>
      </c>
      <c r="C114" s="268">
        <v>2019</v>
      </c>
      <c r="D114" s="268">
        <v>2030</v>
      </c>
      <c r="E114" s="268" t="s">
        <v>245</v>
      </c>
      <c r="F114" s="268" t="s">
        <v>246</v>
      </c>
    </row>
    <row r="115" spans="2:6">
      <c r="B115" s="293" t="s">
        <v>180</v>
      </c>
      <c r="C115" s="270">
        <v>8.3014163369630647E-2</v>
      </c>
      <c r="D115" s="270">
        <v>5.3356069286014884E-2</v>
      </c>
      <c r="E115" s="270" t="s">
        <v>278</v>
      </c>
      <c r="F115" s="270"/>
    </row>
    <row r="116" spans="2:6">
      <c r="B116" s="271" t="s">
        <v>279</v>
      </c>
      <c r="C116" s="270">
        <v>9.2459605026929986E-2</v>
      </c>
      <c r="D116" s="270">
        <v>6.12550300211544E-2</v>
      </c>
      <c r="E116" s="270" t="s">
        <v>278</v>
      </c>
      <c r="F116" s="270"/>
    </row>
    <row r="117" spans="2:6">
      <c r="B117" s="271" t="s">
        <v>280</v>
      </c>
      <c r="C117" s="270">
        <v>4.8252911813643926E-2</v>
      </c>
      <c r="D117" s="270">
        <v>3.2195360070584107E-2</v>
      </c>
      <c r="E117" s="270" t="s">
        <v>278</v>
      </c>
      <c r="F117" s="270"/>
    </row>
    <row r="118" spans="2:6">
      <c r="B118" s="271" t="s">
        <v>281</v>
      </c>
      <c r="C118" s="270">
        <v>0.12176240251445823</v>
      </c>
      <c r="D118" s="270">
        <v>7.0263143304451742E-2</v>
      </c>
      <c r="E118" s="270" t="s">
        <v>278</v>
      </c>
      <c r="F118" s="270"/>
    </row>
    <row r="119" spans="2:6">
      <c r="B119" s="271" t="s">
        <v>282</v>
      </c>
      <c r="C119" s="330">
        <v>3.6408912167859991E-3</v>
      </c>
      <c r="D119" s="330">
        <v>2.1173298695761878E-3</v>
      </c>
      <c r="E119" s="270" t="s">
        <v>278</v>
      </c>
      <c r="F119" s="272"/>
    </row>
    <row r="120" spans="2:6" ht="26.4" customHeight="1">
      <c r="B120" s="271" t="s">
        <v>283</v>
      </c>
      <c r="C120" s="270">
        <v>9.4297766431056904E-2</v>
      </c>
      <c r="D120" s="270">
        <v>7.6099010067569389E-2</v>
      </c>
      <c r="E120" s="270" t="s">
        <v>278</v>
      </c>
      <c r="F120" s="272" t="s">
        <v>284</v>
      </c>
    </row>
    <row r="121" spans="2:6">
      <c r="B121" s="49"/>
      <c r="C121" s="42"/>
      <c r="D121" s="42"/>
      <c r="E121" s="42"/>
      <c r="F121" s="42"/>
    </row>
    <row r="122" spans="2:6">
      <c r="B122" s="268" t="s">
        <v>285</v>
      </c>
      <c r="C122" s="270">
        <v>0.10456225069113056</v>
      </c>
      <c r="D122" s="270">
        <v>8.7909244007345483E-2</v>
      </c>
      <c r="E122" s="270" t="s">
        <v>278</v>
      </c>
      <c r="F122" s="270"/>
    </row>
    <row r="123" spans="2:6" ht="28.8">
      <c r="B123" s="273" t="s">
        <v>286</v>
      </c>
      <c r="C123" s="270">
        <v>0.10754098360655737</v>
      </c>
      <c r="D123" s="270">
        <v>7.7771189440174193E-2</v>
      </c>
      <c r="E123" s="270" t="s">
        <v>287</v>
      </c>
      <c r="F123" s="270"/>
    </row>
    <row r="124" spans="2:6">
      <c r="B124" s="271" t="s">
        <v>288</v>
      </c>
      <c r="C124" s="270">
        <v>0.10077258985555929</v>
      </c>
      <c r="D124" s="270">
        <v>7.1744988954674363E-2</v>
      </c>
      <c r="E124" s="270" t="s">
        <v>287</v>
      </c>
      <c r="F124" s="270"/>
    </row>
    <row r="125" spans="2:6">
      <c r="B125" s="271" t="s">
        <v>289</v>
      </c>
      <c r="C125" s="270">
        <v>0.37837837837837834</v>
      </c>
      <c r="D125" s="270">
        <v>0.23509526381520662</v>
      </c>
      <c r="E125" s="270" t="s">
        <v>287</v>
      </c>
      <c r="F125" s="270"/>
    </row>
    <row r="126" spans="2:6">
      <c r="B126" s="271" t="s">
        <v>290</v>
      </c>
      <c r="C126" s="270">
        <v>0.23947051744885681</v>
      </c>
      <c r="D126" s="270">
        <v>0.17423798452401568</v>
      </c>
      <c r="E126" s="270" t="s">
        <v>291</v>
      </c>
      <c r="F126" s="270"/>
    </row>
  </sheetData>
  <mergeCells count="28">
    <mergeCell ref="B105:B106"/>
    <mergeCell ref="C106:E106"/>
    <mergeCell ref="B6:E6"/>
    <mergeCell ref="B88:B89"/>
    <mergeCell ref="C101:E101"/>
    <mergeCell ref="C83:E83"/>
    <mergeCell ref="C90:E90"/>
    <mergeCell ref="C92:E92"/>
    <mergeCell ref="C84:E84"/>
    <mergeCell ref="C89:E89"/>
    <mergeCell ref="C88:E88"/>
    <mergeCell ref="C91:E91"/>
    <mergeCell ref="B90:B92"/>
    <mergeCell ref="C94:E94"/>
    <mergeCell ref="C96:E96"/>
    <mergeCell ref="C97:E97"/>
    <mergeCell ref="B94:B97"/>
    <mergeCell ref="C87:E87"/>
    <mergeCell ref="C85:E85"/>
    <mergeCell ref="C102:E102"/>
    <mergeCell ref="C86:E86"/>
    <mergeCell ref="C93:E93"/>
    <mergeCell ref="C95:E95"/>
    <mergeCell ref="C103:E103"/>
    <mergeCell ref="C108:E108"/>
    <mergeCell ref="C107:E107"/>
    <mergeCell ref="C105:E105"/>
    <mergeCell ref="C104:E10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85"/>
  <sheetViews>
    <sheetView showGridLines="0" topLeftCell="C62" zoomScale="90" zoomScaleNormal="90" workbookViewId="0">
      <selection activeCell="C59" sqref="C59:E59"/>
    </sheetView>
  </sheetViews>
  <sheetFormatPr baseColWidth="10" defaultColWidth="11.44140625" defaultRowHeight="14.4"/>
  <cols>
    <col min="2" max="2" width="31.33203125" customWidth="1"/>
    <col min="3" max="5" width="30.6640625" customWidth="1"/>
    <col min="6" max="6" width="30" customWidth="1"/>
    <col min="7" max="7" width="26.6640625" customWidth="1"/>
    <col min="9" max="9" width="24.88671875" customWidth="1"/>
    <col min="10" max="10" width="12.33203125" bestFit="1" customWidth="1"/>
  </cols>
  <sheetData>
    <row r="3" spans="2:6">
      <c r="B3" s="45" t="s">
        <v>209</v>
      </c>
    </row>
    <row r="4" spans="2:6">
      <c r="D4" s="400"/>
      <c r="E4" s="400"/>
    </row>
    <row r="6" spans="2:6">
      <c r="B6" s="384" t="s">
        <v>210</v>
      </c>
      <c r="C6" s="384"/>
      <c r="D6" s="384"/>
      <c r="E6" s="384"/>
    </row>
    <row r="7" spans="2:6">
      <c r="B7" s="19"/>
      <c r="C7" s="19"/>
      <c r="D7" s="19"/>
      <c r="E7" s="19"/>
    </row>
    <row r="8" spans="2:6" ht="22.95" customHeight="1">
      <c r="B8" s="237" t="s">
        <v>292</v>
      </c>
      <c r="C8" s="238">
        <f>'Choix années'!C4</f>
        <v>2019</v>
      </c>
      <c r="D8" s="238">
        <f>'Choix années'!C5</f>
        <v>2030</v>
      </c>
    </row>
    <row r="9" spans="2:6" ht="22.95" customHeight="1">
      <c r="B9" s="235" t="s">
        <v>212</v>
      </c>
      <c r="C9" s="247">
        <f>SUM(C16,C38,C52)</f>
        <v>78.615927276214677</v>
      </c>
      <c r="D9" s="247">
        <f>SUM(D16,D38,D52)</f>
        <v>66.526304783520061</v>
      </c>
      <c r="E9" s="42"/>
    </row>
    <row r="10" spans="2:6" ht="30" customHeight="1">
      <c r="B10" s="209" t="str">
        <f>"% de baisse vs "&amp;TEXT($C$14,"#")</f>
        <v>% de baisse vs 2019</v>
      </c>
      <c r="C10" s="235"/>
      <c r="D10" s="240">
        <f>1-(D9/C9)</f>
        <v>0.15378082929961623</v>
      </c>
    </row>
    <row r="11" spans="2:6" ht="30" customHeight="1">
      <c r="B11" s="209" t="str">
        <f>"Variation annuelle moyenne entre "&amp;TEXT($D$14,"#")&amp;" et "&amp;TEXT($C$14,"#")&amp;" "</f>
        <v xml:space="preserve">Variation annuelle moyenne entre 2030 et 2019 </v>
      </c>
      <c r="C11" s="235"/>
      <c r="D11" s="248">
        <f>((D9/C9)^(1/($D$14-$C$14))-1)</f>
        <v>-1.5065085753734775E-2</v>
      </c>
    </row>
    <row r="12" spans="2:6" ht="27" customHeight="1"/>
    <row r="14" spans="2:6">
      <c r="B14" s="210" t="s">
        <v>293</v>
      </c>
      <c r="C14" s="211">
        <f>C8</f>
        <v>2019</v>
      </c>
      <c r="D14" s="211">
        <f t="shared" ref="D14" si="0">D8</f>
        <v>2030</v>
      </c>
      <c r="E14" s="4"/>
      <c r="F14" s="4"/>
    </row>
    <row r="15" spans="2:6">
      <c r="B15" s="234" t="s">
        <v>294</v>
      </c>
      <c r="C15" s="235"/>
      <c r="D15" s="235"/>
    </row>
    <row r="16" spans="2:6" ht="22.95" customHeight="1">
      <c r="B16" s="235" t="s">
        <v>212</v>
      </c>
      <c r="C16" s="246">
        <f>SUM(C20,C24,C28,C32)</f>
        <v>47.420205808198787</v>
      </c>
      <c r="D16" s="246">
        <f>SUM(D20,D24,D28,D32)</f>
        <v>39.55437428427178</v>
      </c>
      <c r="E16" s="5"/>
      <c r="F16" s="5"/>
    </row>
    <row r="17" spans="1:12" ht="22.95" customHeight="1">
      <c r="B17" s="209" t="str">
        <f>"% de baisse vs "&amp;TEXT($C$14,"#")</f>
        <v>% de baisse vs 2019</v>
      </c>
      <c r="C17" s="213"/>
      <c r="D17" s="214">
        <f>1-(D16/C16)</f>
        <v>0.1658751030255341</v>
      </c>
    </row>
    <row r="18" spans="1:12" ht="28.95" customHeight="1">
      <c r="B18" s="209" t="str">
        <f>"Variation annuelle moyenne entre "&amp;TEXT($D$14,"#")&amp;" et "&amp;TEXT($C$14,"#")&amp;" "</f>
        <v xml:space="preserve">Variation annuelle moyenne entre 2030 et 2019 </v>
      </c>
      <c r="C18" s="213"/>
      <c r="D18" s="220">
        <f>((D16/C16)^(1/($D$14-$C$14))-1)</f>
        <v>-1.6353186342406012E-2</v>
      </c>
    </row>
    <row r="19" spans="1:12">
      <c r="B19" s="215" t="s">
        <v>295</v>
      </c>
      <c r="C19" s="216"/>
      <c r="D19" s="217"/>
    </row>
    <row r="20" spans="1:12" ht="22.95" customHeight="1">
      <c r="B20" s="216" t="s">
        <v>212</v>
      </c>
      <c r="C20" s="218">
        <f>VLOOKUP($B$19,'Résultats détaillés GES'!$A$82:$AP$97,MATCH(C$14,'Résultats détaillés GES'!$A$82:$AP$82),FALSE)</f>
        <v>39.413637171783421</v>
      </c>
      <c r="D20" s="218">
        <f>VLOOKUP($B$19,'Résultats détaillés GES'!$A$82:$AP$97,MATCH(D$14,'Résultats détaillés GES'!$A$82:$AP$82),FALSE)</f>
        <v>32.884503244092286</v>
      </c>
      <c r="E20" s="5"/>
      <c r="F20" s="5"/>
    </row>
    <row r="21" spans="1:12" ht="30.6" customHeight="1">
      <c r="B21" s="216" t="str">
        <f>"% de baisse vs "&amp;TEXT($C$14,"#")</f>
        <v>% de baisse vs 2019</v>
      </c>
      <c r="C21" s="219"/>
      <c r="D21" s="220">
        <f>1-(D20/C20)</f>
        <v>0.16565672178982249</v>
      </c>
    </row>
    <row r="22" spans="1:12" ht="30.6" customHeight="1">
      <c r="B22" s="221" t="str">
        <f>"Variation annuelle moyenne entre "&amp;TEXT($D$14,"#")&amp;" et "&amp;TEXT($C$14,"#")&amp;" "</f>
        <v xml:space="preserve">Variation annuelle moyenne entre 2030 et 2019 </v>
      </c>
      <c r="C22" s="219"/>
      <c r="D22" s="220">
        <f>((D20/C20)^(1/($D$14-$C$14))-1)</f>
        <v>-1.6329777547211544E-2</v>
      </c>
    </row>
    <row r="23" spans="1:12">
      <c r="B23" s="215" t="s">
        <v>296</v>
      </c>
      <c r="C23" s="216"/>
      <c r="D23" s="217"/>
    </row>
    <row r="24" spans="1:12" ht="22.95" customHeight="1">
      <c r="B24" s="216" t="s">
        <v>212</v>
      </c>
      <c r="C24" s="218">
        <f>VLOOKUP($B$23,'Résultats détaillés GES'!$A$82:$AP$97,MATCH(C$14,'Résultats détaillés GES'!$A$82:$AP$82),FALSE)</f>
        <v>2.8976521245027347</v>
      </c>
      <c r="D24" s="218">
        <f>VLOOKUP($B$23,'Résultats détaillés GES'!$A$82:$AP$97,MATCH(D$14,'Résultats détaillés GES'!$A$82:$AP$82),FALSE)</f>
        <v>2.1202370313358392</v>
      </c>
      <c r="E24" s="5"/>
      <c r="F24" s="5"/>
    </row>
    <row r="25" spans="1:12" ht="22.95" customHeight="1">
      <c r="B25" s="216" t="str">
        <f>"% de baisse vs "&amp;TEXT($C$14,"#")</f>
        <v>% de baisse vs 2019</v>
      </c>
      <c r="C25" s="222"/>
      <c r="D25" s="223">
        <f>1-(D24/C24)</f>
        <v>0.26829138204445691</v>
      </c>
    </row>
    <row r="26" spans="1:12" ht="31.2" customHeight="1">
      <c r="B26" s="221" t="str">
        <f>"Variation annuelle moyenne entre "&amp;TEXT($D$14,"#")&amp;" et "&amp;TEXT($C$14,"#")&amp;" "</f>
        <v xml:space="preserve">Variation annuelle moyenne entre 2030 et 2019 </v>
      </c>
      <c r="C26" s="222"/>
      <c r="D26" s="220">
        <f>((D24/C24)^(1/($D$14-$C$14))-1)</f>
        <v>-2.79981167422092E-2</v>
      </c>
      <c r="H26" s="56"/>
      <c r="I26" s="42"/>
      <c r="J26" s="42"/>
      <c r="K26" s="42"/>
      <c r="L26" s="42"/>
    </row>
    <row r="27" spans="1:12">
      <c r="B27" s="215" t="s">
        <v>297</v>
      </c>
      <c r="C27" s="216"/>
      <c r="D27" s="216"/>
      <c r="H27" s="27"/>
    </row>
    <row r="28" spans="1:12" ht="22.95" customHeight="1">
      <c r="B28" s="216" t="s">
        <v>212</v>
      </c>
      <c r="C28" s="218">
        <f>VLOOKUP($B$27,'Résultats détaillés GES'!$A$82:$AP$97,MATCH(C$14,'Résultats détaillés GES'!$A$82:$AP$82),FALSE)</f>
        <v>0.23591051083297596</v>
      </c>
      <c r="D28" s="218">
        <f>VLOOKUP($B$27,'Résultats détaillés GES'!$A$82:$AP$97,MATCH(D$14,'Résultats détaillés GES'!$A$82:$AP$82),FALSE)</f>
        <v>0.18186763129325151</v>
      </c>
      <c r="E28" s="5"/>
      <c r="F28" s="5"/>
    </row>
    <row r="29" spans="1:12" ht="22.95" customHeight="1">
      <c r="A29" t="s">
        <v>228</v>
      </c>
      <c r="B29" s="216" t="str">
        <f>"% de baisse vs "&amp;TEXT($C$14,"#")</f>
        <v>% de baisse vs 2019</v>
      </c>
      <c r="C29" s="213"/>
      <c r="D29" s="224">
        <f>1-(D28/C28)</f>
        <v>0.22908211825282621</v>
      </c>
    </row>
    <row r="30" spans="1:12" ht="27" customHeight="1">
      <c r="B30" s="221" t="str">
        <f>"Variation annuelle moyenne entre "&amp;TEXT($D$14,"#")&amp;" et "&amp;TEXT($C$14,"#")&amp;" "</f>
        <v xml:space="preserve">Variation annuelle moyenne entre 2030 et 2019 </v>
      </c>
      <c r="C30" s="213"/>
      <c r="D30" s="220">
        <f>((D28/C28)^(1/($D$14-$C$14))-1)</f>
        <v>-2.3374609752316644E-2</v>
      </c>
    </row>
    <row r="31" spans="1:12">
      <c r="B31" s="215" t="s">
        <v>298</v>
      </c>
      <c r="C31" s="216"/>
      <c r="D31" s="216"/>
    </row>
    <row r="32" spans="1:12" ht="22.95" customHeight="1">
      <c r="B32" s="216" t="s">
        <v>212</v>
      </c>
      <c r="C32" s="218">
        <f>VLOOKUP($B$31,'Résultats détaillés GES'!$A$82:$AP$97,MATCH(C$14,'Résultats détaillés GES'!$A$82:$AP$82),FALSE)</f>
        <v>4.873006001079661</v>
      </c>
      <c r="D32" s="218">
        <f>VLOOKUP($B$31,'Résultats détaillés GES'!$A$82:$AP$97,MATCH(D$14,'Résultats détaillés GES'!$A$82:$AP$82),FALSE)</f>
        <v>4.3677663775504003</v>
      </c>
      <c r="E32" s="5"/>
      <c r="F32" s="5"/>
    </row>
    <row r="33" spans="1:11" ht="22.95" customHeight="1">
      <c r="A33" t="s">
        <v>228</v>
      </c>
      <c r="B33" s="216" t="str">
        <f>"% de baisse vs "&amp;TEXT($C$14,"#")</f>
        <v>% de baisse vs 2019</v>
      </c>
      <c r="C33" s="213"/>
      <c r="D33" s="224">
        <f>1-(D32/C32)</f>
        <v>0.10368130542365839</v>
      </c>
    </row>
    <row r="34" spans="1:11" ht="30" customHeight="1">
      <c r="B34" s="221" t="str">
        <f>"Variation annuelle moyenne entre "&amp;TEXT($D$14,"#")&amp;" et "&amp;TEXT($C$14,"#")&amp;" "</f>
        <v xml:space="preserve">Variation annuelle moyenne entre 2030 et 2019 </v>
      </c>
      <c r="C34" s="213"/>
      <c r="D34" s="220">
        <f>((D32/C32)^(1/($D$14-$C$14))-1)</f>
        <v>-9.9014945050470704E-3</v>
      </c>
    </row>
    <row r="36" spans="1:11">
      <c r="B36" s="210" t="s">
        <v>299</v>
      </c>
      <c r="C36" s="211">
        <f>C8</f>
        <v>2019</v>
      </c>
      <c r="D36" s="211">
        <f t="shared" ref="D36" si="1">D8</f>
        <v>2030</v>
      </c>
    </row>
    <row r="37" spans="1:11">
      <c r="B37" s="207" t="s">
        <v>69</v>
      </c>
      <c r="C37" s="208"/>
      <c r="D37" s="208"/>
    </row>
    <row r="38" spans="1:11" ht="22.95" customHeight="1">
      <c r="B38" s="208" t="s">
        <v>212</v>
      </c>
      <c r="C38" s="218">
        <f>VLOOKUP("sous-total Culture",'Résultats détaillés GES'!$A$82:$AP$97,MATCH(C$14,'Résultats détaillés GES'!$A$82:$AP$82),FALSE)</f>
        <v>21.494492063774654</v>
      </c>
      <c r="D38" s="218">
        <f>VLOOKUP("sous-total Culture",'Résultats détaillés GES'!$A$82:$AP$97,MATCH(D$14,'Résultats détaillés GES'!$A$82:$AP$82),FALSE)</f>
        <v>17.736169492096248</v>
      </c>
      <c r="E38" s="5"/>
      <c r="F38" s="5"/>
    </row>
    <row r="39" spans="1:11" ht="22.95" customHeight="1">
      <c r="B39" s="209" t="str">
        <f>"% de baisse vs "&amp;TEXT($C$14,"#")</f>
        <v>% de baisse vs 2019</v>
      </c>
      <c r="C39" s="213"/>
      <c r="D39" s="214">
        <f>1-(D38/C38)</f>
        <v>0.17485049474662517</v>
      </c>
    </row>
    <row r="40" spans="1:11" ht="27.6" customHeight="1">
      <c r="B40" s="209" t="str">
        <f>"Variation annuelle moyenne entre "&amp;TEXT($D$14,"#")&amp;" et "&amp;TEXT($C$14,"#")&amp;" "</f>
        <v xml:space="preserve">Variation annuelle moyenne entre 2030 et 2019 </v>
      </c>
      <c r="C40" s="213"/>
      <c r="D40" s="220">
        <f>((D38/C38)^(1/($D$14-$C$14))-1)</f>
        <v>-1.7320132710403779E-2</v>
      </c>
    </row>
    <row r="41" spans="1:11">
      <c r="B41" s="215" t="s">
        <v>300</v>
      </c>
      <c r="C41" s="216"/>
      <c r="D41" s="217"/>
    </row>
    <row r="42" spans="1:11" ht="22.95" customHeight="1">
      <c r="B42" s="216" t="s">
        <v>212</v>
      </c>
      <c r="C42" s="218">
        <f>VLOOKUP($B$41,'Résultats détaillés GES'!$A$82:$AP$97,MATCH(C$14,'Résultats détaillés GES'!$A$82:$AP$82),FALSE)</f>
        <v>11.350450647495348</v>
      </c>
      <c r="D42" s="218">
        <f>VLOOKUP($B$41,'Résultats détaillés GES'!$A$82:$AP$97,MATCH(D$14,'Résultats détaillés GES'!$A$82:$AP$82),FALSE)</f>
        <v>8.2509844982239393</v>
      </c>
      <c r="E42" s="5"/>
      <c r="F42" s="5"/>
    </row>
    <row r="43" spans="1:11" ht="22.95" customHeight="1">
      <c r="B43" s="216" t="str">
        <f>"% de baisse vs "&amp;TEXT($C$14,"#")</f>
        <v>% de baisse vs 2019</v>
      </c>
      <c r="C43" s="219"/>
      <c r="D43" s="220">
        <f>1-(D42/C42)</f>
        <v>0.27306987586042264</v>
      </c>
    </row>
    <row r="44" spans="1:11" ht="27.6" customHeight="1">
      <c r="B44" s="221" t="str">
        <f>"Variation annuelle moyenne entre "&amp;TEXT($D$14,"#")&amp;" et "&amp;TEXT($C$14,"#")&amp;" "</f>
        <v xml:space="preserve">Variation annuelle moyenne entre 2030 et 2019 </v>
      </c>
      <c r="C44" s="219"/>
      <c r="D44" s="220">
        <f>((D42/C42)^(1/($D$14-$C$14))-1)</f>
        <v>-2.8576905277187481E-2</v>
      </c>
    </row>
    <row r="45" spans="1:11">
      <c r="B45" s="215" t="s">
        <v>72</v>
      </c>
      <c r="C45" s="225"/>
      <c r="D45" s="226"/>
    </row>
    <row r="46" spans="1:11" ht="22.95" customHeight="1">
      <c r="B46" s="216" t="s">
        <v>212</v>
      </c>
      <c r="C46" s="218">
        <f>C38-C42</f>
        <v>10.144041416279306</v>
      </c>
      <c r="D46" s="218">
        <f t="shared" ref="D46" si="2">D38-D42</f>
        <v>9.4851849938723092</v>
      </c>
      <c r="E46" s="5"/>
      <c r="F46" s="5"/>
    </row>
    <row r="47" spans="1:11" ht="22.95" customHeight="1">
      <c r="B47" s="216" t="str">
        <f>"% de baisse vs "&amp;TEXT($C$14,"#")</f>
        <v>% de baisse vs 2019</v>
      </c>
      <c r="C47" s="219"/>
      <c r="D47" s="228">
        <f>1-(D46/C46)</f>
        <v>6.4950091917966191E-2</v>
      </c>
      <c r="H47" s="53"/>
      <c r="I47" s="52"/>
      <c r="J47" s="403"/>
      <c r="K47" s="403"/>
    </row>
    <row r="48" spans="1:11" ht="28.2" customHeight="1">
      <c r="B48" s="221" t="str">
        <f>"Variation annuelle moyenne entre "&amp;TEXT($D$14,"#")&amp;" et "&amp;TEXT($C$14,"#")&amp;" "</f>
        <v xml:space="preserve">Variation annuelle moyenne entre 2030 et 2019 </v>
      </c>
      <c r="C48" s="219"/>
      <c r="D48" s="220">
        <f>((D46/C46)^(1/($D$14-$C$14))-1)</f>
        <v>-6.0864360999511868E-3</v>
      </c>
      <c r="H48" s="53"/>
      <c r="I48" s="52"/>
      <c r="J48" s="55"/>
      <c r="K48" s="55"/>
    </row>
    <row r="49" spans="2:16">
      <c r="H49" s="53"/>
      <c r="I49" s="52"/>
      <c r="J49" s="55"/>
      <c r="K49" s="55"/>
    </row>
    <row r="50" spans="2:16">
      <c r="B50" s="210" t="s">
        <v>301</v>
      </c>
      <c r="C50" s="211">
        <f>C8</f>
        <v>2019</v>
      </c>
      <c r="D50" s="211">
        <f t="shared" ref="D50" si="3">D8</f>
        <v>2030</v>
      </c>
      <c r="H50" s="53"/>
      <c r="I50" s="52"/>
      <c r="J50" s="55"/>
      <c r="K50" s="55"/>
    </row>
    <row r="51" spans="2:16" ht="28.8">
      <c r="B51" s="207" t="s">
        <v>73</v>
      </c>
      <c r="C51" s="208"/>
      <c r="D51" s="208"/>
      <c r="H51" s="53"/>
      <c r="I51" s="52"/>
      <c r="J51" s="55"/>
      <c r="K51" s="55"/>
    </row>
    <row r="52" spans="2:16" ht="22.95" customHeight="1">
      <c r="B52" s="208" t="s">
        <v>212</v>
      </c>
      <c r="C52" s="218">
        <f>VLOOKUP("sous-total Engins, moteurs et chaudières",'Résultats détaillés GES'!$A$82:$AP$97,MATCH(C$14,'Résultats détaillés GES'!$A$82:$AP$82),FALSE)</f>
        <v>9.7012294042412304</v>
      </c>
      <c r="D52" s="218">
        <f>VLOOKUP("sous-total Engins, moteurs et chaudières",'Résultats détaillés GES'!$A$82:$AP$97,MATCH(D$14,'Résultats détaillés GES'!$A$82:$AP$82),FALSE)</f>
        <v>9.2357610071520355</v>
      </c>
      <c r="E52" s="5"/>
      <c r="F52" s="5"/>
      <c r="H52" s="53"/>
      <c r="I52" s="52"/>
      <c r="J52" s="404"/>
      <c r="K52" s="404"/>
    </row>
    <row r="53" spans="2:16" ht="22.95" customHeight="1">
      <c r="B53" s="209" t="str">
        <f>"% de baisse vs "&amp;TEXT($C$14,"#")</f>
        <v>% de baisse vs 2019</v>
      </c>
      <c r="C53" s="213"/>
      <c r="D53" s="214">
        <f>1-(D52/C52)</f>
        <v>4.7980351530054421E-2</v>
      </c>
      <c r="H53" s="53"/>
      <c r="I53" s="52"/>
    </row>
    <row r="54" spans="2:16" ht="27.6" customHeight="1">
      <c r="B54" s="209" t="str">
        <f>"Variation annuelle moyenne entre "&amp;TEXT($D$14,"#")&amp;" et "&amp;TEXT($C$14,"#")&amp;" "</f>
        <v xml:space="preserve">Variation annuelle moyenne entre 2030 et 2019 </v>
      </c>
      <c r="C54" s="213"/>
      <c r="D54" s="220">
        <f>((D52/C52)^(1/($D$14-$C$14))-1)</f>
        <v>-4.4599886932614741E-3</v>
      </c>
      <c r="H54" s="53"/>
      <c r="I54" s="52"/>
    </row>
    <row r="57" spans="2:16">
      <c r="B57" s="29" t="s">
        <v>226</v>
      </c>
      <c r="I57" s="53"/>
      <c r="J57" s="52"/>
      <c r="K57" s="403"/>
      <c r="L57" s="403"/>
    </row>
    <row r="58" spans="2:16">
      <c r="B58" s="29"/>
      <c r="I58" s="53"/>
      <c r="J58" s="52"/>
      <c r="K58" s="404"/>
      <c r="L58" s="404"/>
    </row>
    <row r="59" spans="2:16" ht="34.5" customHeight="1">
      <c r="B59" s="22" t="str">
        <f>"Baisse globale entre "&amp;TEXT($D$8,"#")&amp;" et "&amp;TEXT($C$8,"#")&amp;" "</f>
        <v xml:space="preserve">Baisse globale entre 2030 et 2019 </v>
      </c>
      <c r="C59" s="395">
        <f>D10</f>
        <v>0.15378082929961623</v>
      </c>
      <c r="D59" s="395"/>
      <c r="E59" s="395"/>
      <c r="H59" s="46"/>
      <c r="I59" s="53"/>
      <c r="J59" s="52"/>
      <c r="K59" s="403"/>
      <c r="L59" s="404"/>
      <c r="M59" s="46"/>
      <c r="N59" s="46"/>
      <c r="O59" s="46"/>
      <c r="P59" s="46"/>
    </row>
    <row r="60" spans="2:16" ht="36" customHeight="1">
      <c r="B60" s="21" t="s">
        <v>229</v>
      </c>
      <c r="C60" s="381" t="s">
        <v>230</v>
      </c>
      <c r="D60" s="381"/>
      <c r="E60" s="381"/>
      <c r="H60" s="46"/>
      <c r="I60" s="53"/>
      <c r="J60" s="52"/>
      <c r="K60" s="403"/>
      <c r="L60" s="403"/>
      <c r="M60" s="46"/>
      <c r="N60" s="46"/>
      <c r="O60" s="46"/>
      <c r="P60" s="46"/>
    </row>
    <row r="61" spans="2:16" ht="43.2" customHeight="1">
      <c r="B61" s="398" t="s">
        <v>194</v>
      </c>
      <c r="C61" s="401" t="s">
        <v>302</v>
      </c>
      <c r="D61" s="401"/>
      <c r="E61" s="401"/>
      <c r="H61" s="46"/>
      <c r="I61" s="46"/>
      <c r="J61" s="46"/>
      <c r="K61" s="46"/>
      <c r="L61" s="46"/>
      <c r="M61" s="46"/>
      <c r="N61" s="46"/>
      <c r="O61" s="46"/>
      <c r="P61" s="46"/>
    </row>
    <row r="62" spans="2:16" ht="54" customHeight="1">
      <c r="B62" s="405"/>
      <c r="C62" s="401" t="s">
        <v>303</v>
      </c>
      <c r="D62" s="401"/>
      <c r="E62" s="401"/>
      <c r="H62" s="46"/>
      <c r="I62" s="46"/>
      <c r="J62" s="46"/>
      <c r="K62" s="46"/>
      <c r="L62" s="46"/>
      <c r="M62" s="46"/>
      <c r="N62" s="46"/>
      <c r="O62" s="46"/>
      <c r="P62" s="46"/>
    </row>
    <row r="63" spans="2:16" ht="61.95" customHeight="1">
      <c r="B63" s="405"/>
      <c r="C63" s="401" t="s">
        <v>304</v>
      </c>
      <c r="D63" s="401"/>
      <c r="E63" s="401"/>
    </row>
    <row r="64" spans="2:16" ht="37.950000000000003" customHeight="1">
      <c r="B64" s="399"/>
      <c r="C64" s="401" t="s">
        <v>305</v>
      </c>
      <c r="D64" s="401"/>
      <c r="E64" s="401"/>
    </row>
    <row r="65" spans="2:15" ht="59.7" customHeight="1">
      <c r="B65" s="25" t="s">
        <v>195</v>
      </c>
      <c r="C65" s="386" t="s">
        <v>306</v>
      </c>
      <c r="D65" s="386"/>
      <c r="E65" s="386"/>
    </row>
    <row r="66" spans="2:15" ht="39" customHeight="1">
      <c r="B66" s="398" t="s">
        <v>196</v>
      </c>
      <c r="C66" s="401" t="s">
        <v>307</v>
      </c>
      <c r="D66" s="401"/>
      <c r="E66" s="401"/>
    </row>
    <row r="67" spans="2:15" ht="39.450000000000003" customHeight="1">
      <c r="B67" s="399"/>
      <c r="C67" s="379" t="s">
        <v>308</v>
      </c>
      <c r="D67" s="379"/>
      <c r="E67" s="379"/>
    </row>
    <row r="68" spans="2:15" ht="17.399999999999999" customHeight="1">
      <c r="B68" s="398" t="s">
        <v>197</v>
      </c>
      <c r="C68" s="402" t="s">
        <v>309</v>
      </c>
      <c r="D68" s="402"/>
      <c r="E68" s="402"/>
    </row>
    <row r="69" spans="2:15" ht="30.45" customHeight="1">
      <c r="B69" s="399"/>
      <c r="C69" s="379" t="s">
        <v>310</v>
      </c>
      <c r="D69" s="379"/>
      <c r="E69" s="379"/>
    </row>
    <row r="70" spans="2:15" ht="30.45" customHeight="1">
      <c r="B70" s="398" t="s">
        <v>198</v>
      </c>
      <c r="C70" s="379" t="s">
        <v>311</v>
      </c>
      <c r="D70" s="379"/>
      <c r="E70" s="379"/>
    </row>
    <row r="71" spans="2:15" ht="30.45" customHeight="1">
      <c r="B71" s="399"/>
      <c r="C71" s="379" t="s">
        <v>312</v>
      </c>
      <c r="D71" s="379"/>
      <c r="E71" s="379"/>
    </row>
    <row r="72" spans="2:15" ht="30.45" customHeight="1">
      <c r="B72" s="54"/>
      <c r="C72" s="397"/>
      <c r="D72" s="397"/>
      <c r="E72" s="397"/>
    </row>
    <row r="73" spans="2:15" ht="49.95" customHeight="1">
      <c r="B73" s="45" t="s">
        <v>242</v>
      </c>
    </row>
    <row r="74" spans="2:15" ht="17.399999999999999" customHeight="1">
      <c r="B74" s="45"/>
    </row>
    <row r="75" spans="2:15" s="46" customFormat="1" ht="33" customHeight="1">
      <c r="B75" s="267" t="s">
        <v>244</v>
      </c>
      <c r="C75" s="268">
        <v>2019</v>
      </c>
      <c r="D75" s="268">
        <v>2030</v>
      </c>
      <c r="E75" s="268" t="s">
        <v>245</v>
      </c>
      <c r="G75"/>
      <c r="H75"/>
      <c r="I75"/>
      <c r="J75"/>
      <c r="K75"/>
      <c r="L75"/>
      <c r="M75"/>
      <c r="N75"/>
      <c r="O75"/>
    </row>
    <row r="76" spans="2:15">
      <c r="B76" s="269" t="s">
        <v>313</v>
      </c>
      <c r="C76" s="218">
        <v>9.0062701881056419</v>
      </c>
      <c r="D76" s="218">
        <v>8.0822178758217778</v>
      </c>
      <c r="E76" s="218" t="s">
        <v>314</v>
      </c>
    </row>
    <row r="77" spans="2:15">
      <c r="B77" s="269" t="s">
        <v>315</v>
      </c>
      <c r="C77" s="218">
        <v>2.1680515049799154</v>
      </c>
      <c r="D77" s="218">
        <v>2.1141227231632449</v>
      </c>
      <c r="E77" s="218" t="s">
        <v>316</v>
      </c>
    </row>
    <row r="78" spans="2:15">
      <c r="B78" s="269" t="s">
        <v>317</v>
      </c>
      <c r="C78" s="218">
        <v>0.22025427976850515</v>
      </c>
      <c r="D78" s="218">
        <v>0.17915956478420247</v>
      </c>
      <c r="E78" s="218" t="s">
        <v>316</v>
      </c>
    </row>
    <row r="79" spans="2:15">
      <c r="B79" s="269" t="s">
        <v>318</v>
      </c>
      <c r="C79" s="218">
        <v>0.66918727205808548</v>
      </c>
      <c r="D79" s="218">
        <v>0.62259768133775018</v>
      </c>
      <c r="E79" s="218" t="s">
        <v>319</v>
      </c>
    </row>
    <row r="82" spans="2:5">
      <c r="B82" s="267" t="s">
        <v>244</v>
      </c>
      <c r="C82" s="268">
        <v>2019</v>
      </c>
      <c r="D82" s="268">
        <v>2030</v>
      </c>
      <c r="E82" s="268" t="s">
        <v>245</v>
      </c>
    </row>
    <row r="83" spans="2:5">
      <c r="B83" s="273" t="s">
        <v>320</v>
      </c>
      <c r="C83" s="218">
        <v>0.75821695584708704</v>
      </c>
      <c r="D83" s="218">
        <v>0.6283057044478364</v>
      </c>
      <c r="E83" s="218" t="s">
        <v>321</v>
      </c>
    </row>
    <row r="84" spans="2:5" ht="28.8">
      <c r="B84" s="204" t="s">
        <v>322</v>
      </c>
      <c r="C84" s="218">
        <v>5.3321449068721467</v>
      </c>
      <c r="D84" s="218">
        <v>5.5447870170496376</v>
      </c>
      <c r="E84" s="218" t="s">
        <v>323</v>
      </c>
    </row>
    <row r="85" spans="2:5">
      <c r="B85" s="269" t="s">
        <v>324</v>
      </c>
      <c r="C85" s="270">
        <v>0.19169960474308298</v>
      </c>
      <c r="D85" s="270">
        <v>0.19362182404930892</v>
      </c>
      <c r="E85" s="270" t="s">
        <v>325</v>
      </c>
    </row>
  </sheetData>
  <mergeCells count="26">
    <mergeCell ref="K59:L59"/>
    <mergeCell ref="K60:L60"/>
    <mergeCell ref="B61:B64"/>
    <mergeCell ref="B6:E6"/>
    <mergeCell ref="C59:E59"/>
    <mergeCell ref="C60:E60"/>
    <mergeCell ref="C64:E64"/>
    <mergeCell ref="C63:E63"/>
    <mergeCell ref="C62:E62"/>
    <mergeCell ref="C61:E61"/>
    <mergeCell ref="J47:K47"/>
    <mergeCell ref="J52:K52"/>
    <mergeCell ref="K57:L57"/>
    <mergeCell ref="K58:L58"/>
    <mergeCell ref="C71:E71"/>
    <mergeCell ref="C72:E72"/>
    <mergeCell ref="B68:B69"/>
    <mergeCell ref="B70:B71"/>
    <mergeCell ref="D4:E4"/>
    <mergeCell ref="B66:B67"/>
    <mergeCell ref="C67:E67"/>
    <mergeCell ref="C66:E66"/>
    <mergeCell ref="C65:E65"/>
    <mergeCell ref="C68:E68"/>
    <mergeCell ref="C69:E69"/>
    <mergeCell ref="C70:E7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A5C2D3BB858F40A15FCF1AAD71451D" ma:contentTypeVersion="2" ma:contentTypeDescription="Crée un document." ma:contentTypeScope="" ma:versionID="8a38837c1ebfecbfe71575907bed78f8">
  <xsd:schema xmlns:xsd="http://www.w3.org/2001/XMLSchema" xmlns:xs="http://www.w3.org/2001/XMLSchema" xmlns:p="http://schemas.microsoft.com/office/2006/metadata/properties" xmlns:ns2="1f00af46-f5d5-48a3-a990-ac6ff05f15fa" targetNamespace="http://schemas.microsoft.com/office/2006/metadata/properties" ma:root="true" ma:fieldsID="1a41af4c2a3e40126f3070a9c70020d8" ns2:_="">
    <xsd:import namespace="1f00af46-f5d5-48a3-a990-ac6ff05f15f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00af46-f5d5-48a3-a990-ac6ff05f15fa"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2C52B5-13EF-4400-9CE2-97C93FF42C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00af46-f5d5-48a3-a990-ac6ff05f15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217739-AF76-4B64-87BD-240E83501458}">
  <ds:schemaRefs>
    <ds:schemaRef ds:uri="http://schemas.microsoft.com/sharepoint/v3/contenttype/forms"/>
  </ds:schemaRefs>
</ds:datastoreItem>
</file>

<file path=customXml/itemProps3.xml><?xml version="1.0" encoding="utf-8"?>
<ds:datastoreItem xmlns:ds="http://schemas.openxmlformats.org/officeDocument/2006/customXml" ds:itemID="{E7D106BD-4626-4671-B934-39133CD5A856}">
  <ds:schemaRefs>
    <ds:schemaRef ds:uri="http://purl.org/dc/elements/1.1/"/>
    <ds:schemaRef ds:uri="http://schemas.microsoft.com/office/2006/documentManagement/types"/>
    <ds:schemaRef ds:uri="http://purl.org/dc/terms/"/>
    <ds:schemaRef ds:uri="http://schemas.openxmlformats.org/package/2006/metadata/core-properties"/>
    <ds:schemaRef ds:uri="http://www.w3.org/XML/1998/namespace"/>
    <ds:schemaRef ds:uri="1f00af46-f5d5-48a3-a990-ac6ff05f15fa"/>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Notice d'utilisation et FAQ</vt:lpstr>
      <vt:lpstr>Choix années</vt:lpstr>
      <vt:lpstr>Scope 1</vt:lpstr>
      <vt:lpstr>Scope 2</vt:lpstr>
      <vt:lpstr>Scope 3</vt:lpstr>
      <vt:lpstr>Leviers</vt:lpstr>
      <vt:lpstr>Bâtiment</vt:lpstr>
      <vt:lpstr>Transport</vt:lpstr>
      <vt:lpstr>Agriculture</vt:lpstr>
      <vt:lpstr>Industrie</vt:lpstr>
      <vt:lpstr>Déchets</vt:lpstr>
      <vt:lpstr>Energie</vt:lpstr>
      <vt:lpstr>UTCATF</vt:lpstr>
      <vt:lpstr>Résultats détaillés GES</vt:lpstr>
      <vt:lpstr>Résultats détaillés CH4</vt:lpstr>
      <vt:lpstr>Résultats détaillés N2O</vt:lpstr>
      <vt:lpstr>Résultats détaillés Gaz F</vt:lpstr>
    </vt:vector>
  </TitlesOfParts>
  <Manager/>
  <Company>MTES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ROUX Maxime</dc:creator>
  <cp:keywords/>
  <dc:description/>
  <cp:lastModifiedBy>ROUX Maxime</cp:lastModifiedBy>
  <cp:revision/>
  <dcterms:created xsi:type="dcterms:W3CDTF">2024-01-12T15:52:03Z</dcterms:created>
  <dcterms:modified xsi:type="dcterms:W3CDTF">2024-11-04T09:54:41Z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0x01010009A5C2D3BB858F40A15FCF1AAD71451D</vt:lpwstr>
  </property>
</Properties>
</file>